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IN WIN\Downloads\Андрей прайсы проверить исправить загрузить на гк88  оформить страницу партнеров\"/>
    </mc:Choice>
  </mc:AlternateContent>
  <bookViews>
    <workbookView xWindow="0" yWindow="0" windowWidth="23040" windowHeight="9192"/>
  </bookViews>
  <sheets>
    <sheet name="ЭБК ROOFSYSTEMS" sheetId="1" r:id="rId1"/>
    <sheet name="х-кронштейны" sheetId="5" r:id="rId2"/>
    <sheet name="ЭБК ТЕКТА" sheetId="7" r:id="rId3"/>
    <sheet name="Водосточные системы SALE!!!" sheetId="6" r:id="rId4"/>
  </sheets>
  <definedNames>
    <definedName name="__xlnm__FilterDatabase" localSheetId="0">NA()</definedName>
    <definedName name="__xlnm_Print_Area" localSheetId="0">'ЭБК ROOFSYSTEMS'!$A$1:$F$503</definedName>
    <definedName name="Z_DA8DBDE0_784E_4006_B6E3_AFF19CC4A244__wvu_PrintArea" localSheetId="0">'ЭБК ROOFSYSTEMS'!$A$1:$F$503</definedName>
    <definedName name="Z_DA8DBDE0_784E_4006_B6E3_AFF19CC4A244__wvu_Rows" localSheetId="0">('ЭБК ROOFSYSTEMS'!$1:$1,'ЭБК ROOFSYSTEMS'!#REF!)</definedName>
    <definedName name="_xlnm.Print_Area" localSheetId="0">'ЭБК ROOFSYSTEMS'!$A$1:$G$660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08" i="1" l="1"/>
  <c r="F508" i="1"/>
  <c r="F509" i="1"/>
  <c r="G554" i="1" l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38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17" i="1"/>
  <c r="G455" i="1" l="1"/>
  <c r="F456" i="1"/>
  <c r="F455" i="1"/>
  <c r="G79" i="1"/>
  <c r="F79" i="1"/>
  <c r="F80" i="1"/>
  <c r="F20" i="7" l="1"/>
  <c r="F50" i="7" l="1"/>
  <c r="F49" i="7"/>
  <c r="F48" i="7"/>
  <c r="F45" i="7"/>
  <c r="F44" i="7"/>
  <c r="F43" i="7"/>
  <c r="F42" i="7"/>
  <c r="F41" i="7"/>
  <c r="F40" i="7"/>
  <c r="F39" i="7"/>
  <c r="F38" i="7"/>
  <c r="F37" i="7"/>
  <c r="F36" i="7"/>
  <c r="F35" i="7"/>
  <c r="F34" i="7"/>
  <c r="F47" i="1" l="1"/>
  <c r="F46" i="1"/>
  <c r="F45" i="1"/>
  <c r="F44" i="1"/>
  <c r="F43" i="1"/>
  <c r="F42" i="1"/>
  <c r="F40" i="1"/>
  <c r="F41" i="1"/>
  <c r="F39" i="1"/>
  <c r="F38" i="1"/>
  <c r="F36" i="1"/>
  <c r="F35" i="1"/>
  <c r="F34" i="1"/>
  <c r="F33" i="1"/>
  <c r="F32" i="1"/>
  <c r="F31" i="1"/>
  <c r="F30" i="1"/>
  <c r="F29" i="1"/>
  <c r="F28" i="1"/>
  <c r="F27" i="1"/>
  <c r="F26" i="1"/>
  <c r="F25" i="1"/>
  <c r="F32" i="7" l="1"/>
  <c r="F31" i="7"/>
  <c r="F30" i="7"/>
  <c r="F19" i="1" l="1"/>
  <c r="F18" i="1"/>
  <c r="F14" i="7" l="1"/>
  <c r="F17" i="7"/>
  <c r="F28" i="7"/>
  <c r="F27" i="7"/>
  <c r="F24" i="7"/>
  <c r="F25" i="7"/>
  <c r="F21" i="7"/>
  <c r="F22" i="7"/>
  <c r="F16" i="7"/>
  <c r="F15" i="7"/>
  <c r="F13" i="7"/>
  <c r="F12" i="7"/>
  <c r="F11" i="7"/>
  <c r="F10" i="7"/>
  <c r="F9" i="7"/>
  <c r="G517" i="1" l="1"/>
  <c r="G497" i="1"/>
  <c r="G487" i="1"/>
  <c r="G477" i="1"/>
  <c r="G467" i="1"/>
  <c r="G459" i="1"/>
  <c r="G445" i="1"/>
  <c r="G418" i="1"/>
  <c r="G388" i="1"/>
  <c r="G358" i="1"/>
  <c r="G326" i="1"/>
  <c r="G325" i="1"/>
  <c r="G324" i="1"/>
  <c r="G294" i="1"/>
  <c r="G293" i="1"/>
  <c r="G292" i="1"/>
  <c r="G259" i="1"/>
  <c r="G258" i="1"/>
  <c r="G235" i="1"/>
  <c r="G210" i="1"/>
  <c r="G193" i="1"/>
  <c r="G76" i="1"/>
  <c r="G75" i="1"/>
  <c r="G74" i="1"/>
  <c r="F571" i="1"/>
  <c r="F518" i="1"/>
  <c r="F517" i="1"/>
  <c r="F502" i="1"/>
  <c r="F497" i="1"/>
  <c r="F492" i="1"/>
  <c r="F487" i="1"/>
  <c r="F482" i="1"/>
  <c r="F477" i="1"/>
  <c r="G463" i="1"/>
  <c r="F464" i="1"/>
  <c r="F463" i="1"/>
  <c r="F468" i="1"/>
  <c r="F467" i="1"/>
  <c r="F460" i="1"/>
  <c r="F459" i="1"/>
  <c r="F446" i="1"/>
  <c r="F445" i="1"/>
  <c r="F418" i="1"/>
  <c r="F389" i="1"/>
  <c r="F388" i="1"/>
  <c r="F359" i="1"/>
  <c r="F341" i="1"/>
  <c r="F340" i="1"/>
  <c r="F339" i="1"/>
  <c r="F326" i="1"/>
  <c r="F325" i="1"/>
  <c r="F324" i="1"/>
  <c r="F312" i="1"/>
  <c r="F309" i="1"/>
  <c r="F308" i="1"/>
  <c r="F307" i="1"/>
  <c r="F294" i="1"/>
  <c r="F293" i="1"/>
  <c r="F292" i="1"/>
  <c r="F261" i="1"/>
  <c r="F260" i="1"/>
  <c r="F259" i="1"/>
  <c r="F258" i="1"/>
  <c r="F255" i="1"/>
  <c r="F236" i="1"/>
  <c r="F235" i="1"/>
  <c r="F76" i="1"/>
  <c r="F75" i="1"/>
  <c r="F74" i="1"/>
  <c r="F50" i="1"/>
  <c r="F435" i="1"/>
  <c r="F433" i="1"/>
  <c r="F432" i="1"/>
  <c r="F421" i="1"/>
  <c r="G421" i="1"/>
  <c r="G419" i="1"/>
  <c r="F419" i="1"/>
  <c r="F520" i="1"/>
  <c r="G519" i="1"/>
  <c r="F519" i="1"/>
  <c r="F503" i="1"/>
  <c r="G498" i="1"/>
  <c r="F498" i="1"/>
  <c r="F493" i="1"/>
  <c r="G488" i="1"/>
  <c r="F488" i="1"/>
  <c r="F483" i="1"/>
  <c r="G478" i="1"/>
  <c r="F478" i="1"/>
  <c r="G469" i="1" l="1"/>
  <c r="F470" i="1"/>
  <c r="F469" i="1"/>
  <c r="G465" i="1"/>
  <c r="F466" i="1"/>
  <c r="F465" i="1"/>
  <c r="G461" i="1"/>
  <c r="F462" i="1"/>
  <c r="F461" i="1"/>
  <c r="G443" i="1"/>
  <c r="F444" i="1"/>
  <c r="F443" i="1"/>
  <c r="G394" i="1"/>
  <c r="F395" i="1"/>
  <c r="F394" i="1"/>
  <c r="G380" i="1"/>
  <c r="F381" i="1"/>
  <c r="F380" i="1"/>
  <c r="G374" i="1" l="1"/>
  <c r="F375" i="1"/>
  <c r="F374" i="1"/>
  <c r="G372" i="1"/>
  <c r="F373" i="1"/>
  <c r="F372" i="1"/>
  <c r="F371" i="1"/>
  <c r="F370" i="1"/>
  <c r="F369" i="1"/>
  <c r="G368" i="1"/>
  <c r="G367" i="1"/>
  <c r="G366" i="1"/>
  <c r="F368" i="1"/>
  <c r="F367" i="1"/>
  <c r="F366" i="1"/>
  <c r="G364" i="1"/>
  <c r="F365" i="1"/>
  <c r="F364" i="1"/>
  <c r="F363" i="1"/>
  <c r="G362" i="1"/>
  <c r="F362" i="1"/>
  <c r="F612" i="1"/>
  <c r="F611" i="1"/>
  <c r="F649" i="1"/>
  <c r="F648" i="1"/>
  <c r="G356" i="1"/>
  <c r="F357" i="1"/>
  <c r="F356" i="1"/>
  <c r="F302" i="1"/>
  <c r="G287" i="1"/>
  <c r="F287" i="1"/>
  <c r="F265" i="1"/>
  <c r="F264" i="1"/>
  <c r="G263" i="1"/>
  <c r="F263" i="1"/>
  <c r="F257" i="1"/>
  <c r="F256" i="1"/>
  <c r="G255" i="1"/>
  <c r="G254" i="1"/>
  <c r="F254" i="1"/>
  <c r="F234" i="1"/>
  <c r="F233" i="1"/>
  <c r="G232" i="1"/>
  <c r="F232" i="1"/>
  <c r="G231" i="1"/>
  <c r="F231" i="1"/>
  <c r="F226" i="1"/>
  <c r="G223" i="1"/>
  <c r="G224" i="1"/>
  <c r="F225" i="1"/>
  <c r="F224" i="1"/>
  <c r="F223" i="1"/>
  <c r="F208" i="1"/>
  <c r="G207" i="1"/>
  <c r="F207" i="1"/>
  <c r="F206" i="1"/>
  <c r="F205" i="1"/>
  <c r="G191" i="1" l="1"/>
  <c r="F192" i="1"/>
  <c r="F191" i="1"/>
  <c r="F190" i="1"/>
  <c r="F189" i="1"/>
  <c r="G187" i="1"/>
  <c r="F188" i="1"/>
  <c r="F187" i="1"/>
  <c r="F186" i="1"/>
  <c r="F185" i="1"/>
  <c r="F184" i="1"/>
  <c r="G183" i="1"/>
  <c r="F183" i="1"/>
  <c r="F182" i="1"/>
  <c r="F181" i="1"/>
  <c r="F178" i="1" l="1"/>
  <c r="F177" i="1"/>
  <c r="G175" i="1"/>
  <c r="F176" i="1"/>
  <c r="F175" i="1"/>
  <c r="G170" i="1"/>
  <c r="G169" i="1"/>
  <c r="F172" i="1"/>
  <c r="F170" i="1"/>
  <c r="F169" i="1"/>
  <c r="F163" i="1"/>
  <c r="G160" i="1"/>
  <c r="G159" i="1"/>
  <c r="G158" i="1"/>
  <c r="F167" i="1"/>
  <c r="F166" i="1"/>
  <c r="F165" i="1"/>
  <c r="F164" i="1"/>
  <c r="F162" i="1"/>
  <c r="F161" i="1"/>
  <c r="F160" i="1"/>
  <c r="F159" i="1"/>
  <c r="F158" i="1"/>
  <c r="F157" i="1"/>
  <c r="G157" i="1"/>
  <c r="G156" i="1"/>
  <c r="G155" i="1"/>
  <c r="F156" i="1"/>
  <c r="F155" i="1"/>
  <c r="G154" i="1"/>
  <c r="F154" i="1"/>
  <c r="F153" i="1"/>
  <c r="F152" i="1"/>
  <c r="F151" i="1"/>
  <c r="F149" i="1"/>
  <c r="G145" i="1"/>
  <c r="G144" i="1"/>
  <c r="G143" i="1"/>
  <c r="F145" i="1"/>
  <c r="F144" i="1"/>
  <c r="G146" i="1"/>
  <c r="F146" i="1"/>
  <c r="G142" i="1"/>
  <c r="F142" i="1"/>
  <c r="F141" i="1"/>
  <c r="G89" i="1" l="1"/>
  <c r="F89" i="1"/>
  <c r="G80" i="1"/>
  <c r="G81" i="1"/>
  <c r="F81" i="1"/>
  <c r="F70" i="1"/>
  <c r="F69" i="1"/>
  <c r="G68" i="1"/>
  <c r="F68" i="1"/>
  <c r="F16" i="1"/>
  <c r="F17" i="1"/>
  <c r="F10" i="1"/>
  <c r="F9" i="1"/>
  <c r="G63" i="1"/>
  <c r="F63" i="1"/>
  <c r="G61" i="1"/>
  <c r="F61" i="1"/>
  <c r="G59" i="1"/>
  <c r="G58" i="1"/>
  <c r="F59" i="1"/>
  <c r="F58" i="1"/>
  <c r="F57" i="1"/>
  <c r="G52" i="1"/>
  <c r="F52" i="1"/>
  <c r="G50" i="1"/>
  <c r="G49" i="1"/>
  <c r="F49" i="1"/>
  <c r="F51" i="1"/>
  <c r="G51" i="1"/>
  <c r="F23" i="1"/>
  <c r="F22" i="1"/>
  <c r="F21" i="1"/>
  <c r="F14" i="1"/>
  <c r="F13" i="1"/>
  <c r="F12" i="1"/>
  <c r="F11" i="1"/>
  <c r="F385" i="1" l="1"/>
  <c r="G384" i="1"/>
  <c r="F384" i="1"/>
  <c r="F383" i="1"/>
  <c r="G382" i="1"/>
  <c r="F382" i="1"/>
  <c r="G386" i="1"/>
  <c r="F387" i="1"/>
  <c r="F386" i="1"/>
  <c r="G390" i="1"/>
  <c r="F391" i="1"/>
  <c r="F390" i="1"/>
  <c r="F393" i="1"/>
  <c r="G392" i="1"/>
  <c r="F392" i="1"/>
  <c r="G537" i="1"/>
  <c r="F537" i="1"/>
  <c r="G122" i="1"/>
  <c r="F122" i="1"/>
  <c r="G376" i="1"/>
  <c r="F377" i="1"/>
  <c r="F376" i="1"/>
  <c r="F213" i="1" l="1"/>
  <c r="F212" i="1"/>
  <c r="G211" i="1"/>
  <c r="F211" i="1"/>
  <c r="F210" i="1"/>
  <c r="G66" i="1"/>
  <c r="F66" i="1"/>
  <c r="G65" i="1"/>
  <c r="F65" i="1"/>
  <c r="G9" i="5"/>
  <c r="F9" i="5"/>
  <c r="F431" i="1"/>
  <c r="F430" i="1"/>
  <c r="F429" i="1"/>
  <c r="G417" i="1"/>
  <c r="F417" i="1"/>
  <c r="F416" i="1"/>
  <c r="G416" i="1"/>
  <c r="G415" i="1"/>
  <c r="F415" i="1"/>
  <c r="F536" i="1"/>
  <c r="G534" i="1"/>
  <c r="F534" i="1"/>
  <c r="G533" i="1"/>
  <c r="F535" i="1"/>
  <c r="F533" i="1"/>
  <c r="G121" i="1"/>
  <c r="G120" i="1"/>
  <c r="F121" i="1"/>
  <c r="F120" i="1"/>
  <c r="F119" i="1"/>
  <c r="G96" i="1"/>
  <c r="F96" i="1"/>
  <c r="G177" i="1"/>
  <c r="G57" i="1"/>
  <c r="G201" i="1"/>
  <c r="F202" i="1"/>
  <c r="F201" i="1"/>
  <c r="F193" i="1" l="1"/>
  <c r="F358" i="1"/>
  <c r="G447" i="1"/>
  <c r="F448" i="1"/>
  <c r="F447" i="1"/>
  <c r="G441" i="1"/>
  <c r="F442" i="1"/>
  <c r="F441" i="1"/>
  <c r="F440" i="1"/>
  <c r="G439" i="1"/>
  <c r="F439" i="1"/>
  <c r="G274" i="1"/>
  <c r="F274" i="1"/>
  <c r="F275" i="1"/>
  <c r="F53" i="1"/>
  <c r="F20" i="1"/>
  <c r="G62" i="1"/>
  <c r="F62" i="1"/>
  <c r="G60" i="1"/>
  <c r="F60" i="1"/>
  <c r="G239" i="1"/>
  <c r="F240" i="1"/>
  <c r="F239" i="1"/>
  <c r="F516" i="1"/>
  <c r="G515" i="1"/>
  <c r="F515" i="1"/>
  <c r="F514" i="1"/>
  <c r="F501" i="1"/>
  <c r="F500" i="1"/>
  <c r="G496" i="1"/>
  <c r="G495" i="1"/>
  <c r="F496" i="1"/>
  <c r="F495" i="1"/>
  <c r="F491" i="1"/>
  <c r="F490" i="1"/>
  <c r="G486" i="1"/>
  <c r="G485" i="1"/>
  <c r="F486" i="1"/>
  <c r="F485" i="1"/>
  <c r="F481" i="1"/>
  <c r="F480" i="1"/>
  <c r="G476" i="1"/>
  <c r="G475" i="1"/>
  <c r="F476" i="1"/>
  <c r="F475" i="1"/>
  <c r="F474" i="1"/>
  <c r="F438" i="1"/>
  <c r="F437" i="1"/>
  <c r="G407" i="1"/>
  <c r="G406" i="1"/>
  <c r="G405" i="1"/>
  <c r="F410" i="1"/>
  <c r="F409" i="1"/>
  <c r="F408" i="1"/>
  <c r="F407" i="1"/>
  <c r="F406" i="1"/>
  <c r="F405" i="1"/>
  <c r="G181" i="1"/>
  <c r="F180" i="1"/>
  <c r="F335" i="1"/>
  <c r="F334" i="1"/>
  <c r="F333" i="1"/>
  <c r="G320" i="1"/>
  <c r="G319" i="1"/>
  <c r="G318" i="1"/>
  <c r="F320" i="1"/>
  <c r="F319" i="1"/>
  <c r="F318" i="1"/>
  <c r="F322" i="1"/>
  <c r="F316" i="1"/>
  <c r="F315" i="1"/>
  <c r="F303" i="1"/>
  <c r="F301" i="1"/>
  <c r="G288" i="1"/>
  <c r="G286" i="1"/>
  <c r="F288" i="1"/>
  <c r="F286" i="1"/>
  <c r="F283" i="1"/>
  <c r="G322" i="1"/>
  <c r="G321" i="1"/>
  <c r="G317" i="1"/>
  <c r="G316" i="1"/>
  <c r="G315" i="1"/>
  <c r="G314" i="1"/>
  <c r="G313" i="1"/>
  <c r="G312" i="1"/>
  <c r="G323" i="1"/>
  <c r="G342" i="1"/>
  <c r="F343" i="1"/>
  <c r="F342" i="1"/>
  <c r="F338" i="1"/>
  <c r="F337" i="1"/>
  <c r="F336" i="1"/>
  <c r="F332" i="1"/>
  <c r="F331" i="1"/>
  <c r="F330" i="1"/>
  <c r="F329" i="1"/>
  <c r="F328" i="1"/>
  <c r="F327" i="1"/>
  <c r="F323" i="1"/>
  <c r="F321" i="1"/>
  <c r="F317" i="1"/>
  <c r="F313" i="1"/>
  <c r="F314" i="1"/>
  <c r="F344" i="1"/>
  <c r="G344" i="1"/>
  <c r="F345" i="1"/>
  <c r="G345" i="1"/>
  <c r="F346" i="1"/>
  <c r="G346" i="1"/>
  <c r="G457" i="1"/>
  <c r="G453" i="1"/>
  <c r="G451" i="1"/>
  <c r="G449" i="1"/>
  <c r="G360" i="1"/>
  <c r="F458" i="1"/>
  <c r="F457" i="1"/>
  <c r="F454" i="1"/>
  <c r="F453" i="1"/>
  <c r="F452" i="1"/>
  <c r="F451" i="1"/>
  <c r="F450" i="1"/>
  <c r="F449" i="1"/>
  <c r="F361" i="1"/>
  <c r="F360" i="1"/>
  <c r="G310" i="1"/>
  <c r="F311" i="1"/>
  <c r="F310" i="1"/>
  <c r="F58" i="7"/>
  <c r="F57" i="7"/>
  <c r="F26" i="7"/>
  <c r="F55" i="7"/>
  <c r="F54" i="7"/>
  <c r="F53" i="7"/>
  <c r="F52" i="7"/>
  <c r="F51" i="7"/>
  <c r="F47" i="7"/>
  <c r="F29" i="7"/>
  <c r="F23" i="7"/>
  <c r="F19" i="7"/>
  <c r="F660" i="1"/>
  <c r="F659" i="1"/>
  <c r="F658" i="1"/>
  <c r="F657" i="1"/>
  <c r="F656" i="1"/>
  <c r="F655" i="1"/>
  <c r="F654" i="1"/>
  <c r="F653" i="1"/>
  <c r="F652" i="1"/>
  <c r="F651" i="1"/>
  <c r="F650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0" i="1"/>
  <c r="G272" i="1"/>
  <c r="G270" i="1"/>
  <c r="G268" i="1"/>
  <c r="F276" i="1"/>
  <c r="F273" i="1"/>
  <c r="F272" i="1"/>
  <c r="F271" i="1"/>
  <c r="F270" i="1"/>
  <c r="F269" i="1"/>
  <c r="F268" i="1"/>
  <c r="G117" i="1"/>
  <c r="G116" i="1"/>
  <c r="F116" i="1"/>
  <c r="G106" i="1"/>
  <c r="G105" i="1"/>
  <c r="G104" i="1"/>
  <c r="G103" i="1"/>
  <c r="F106" i="1"/>
  <c r="F105" i="1"/>
  <c r="F104" i="1"/>
  <c r="F103" i="1"/>
  <c r="G8" i="5"/>
  <c r="F8" i="5"/>
  <c r="G7" i="5"/>
  <c r="F7" i="5"/>
  <c r="G6" i="5"/>
  <c r="F6" i="5"/>
  <c r="G5" i="5"/>
  <c r="F5" i="5"/>
  <c r="G4" i="5"/>
  <c r="F4" i="5"/>
  <c r="G54" i="1"/>
  <c r="G531" i="1"/>
  <c r="F532" i="1"/>
  <c r="F531" i="1"/>
  <c r="F530" i="1"/>
  <c r="F529" i="1"/>
  <c r="F528" i="1"/>
  <c r="F527" i="1"/>
  <c r="F526" i="1"/>
  <c r="G525" i="1"/>
  <c r="F525" i="1"/>
  <c r="F524" i="1"/>
  <c r="G524" i="1"/>
  <c r="G523" i="1"/>
  <c r="F523" i="1"/>
  <c r="F522" i="1"/>
  <c r="G522" i="1"/>
  <c r="G521" i="1"/>
  <c r="F521" i="1"/>
  <c r="G513" i="1"/>
  <c r="F513" i="1"/>
  <c r="F512" i="1"/>
  <c r="G511" i="1"/>
  <c r="F511" i="1"/>
  <c r="F507" i="1"/>
  <c r="G506" i="1"/>
  <c r="F506" i="1"/>
  <c r="F505" i="1"/>
  <c r="G504" i="1"/>
  <c r="F504" i="1"/>
  <c r="F499" i="1"/>
  <c r="F484" i="1"/>
  <c r="F479" i="1"/>
  <c r="G494" i="1"/>
  <c r="F494" i="1"/>
  <c r="F489" i="1"/>
  <c r="G484" i="1"/>
  <c r="G474" i="1"/>
  <c r="F436" i="1"/>
  <c r="F434" i="1"/>
  <c r="F428" i="1"/>
  <c r="F427" i="1"/>
  <c r="F426" i="1"/>
  <c r="F425" i="1"/>
  <c r="G424" i="1"/>
  <c r="F424" i="1"/>
  <c r="F423" i="1"/>
  <c r="G422" i="1"/>
  <c r="F422" i="1"/>
  <c r="F420" i="1"/>
  <c r="G420" i="1"/>
  <c r="F414" i="1"/>
  <c r="G414" i="1"/>
  <c r="G413" i="1"/>
  <c r="F413" i="1"/>
  <c r="F412" i="1"/>
  <c r="G412" i="1"/>
  <c r="G411" i="1"/>
  <c r="F411" i="1"/>
  <c r="F404" i="1"/>
  <c r="F403" i="1"/>
  <c r="F402" i="1"/>
  <c r="F401" i="1"/>
  <c r="G401" i="1"/>
  <c r="G400" i="1"/>
  <c r="F400" i="1"/>
  <c r="G399" i="1"/>
  <c r="F399" i="1"/>
  <c r="F379" i="1"/>
  <c r="G378" i="1"/>
  <c r="F378" i="1"/>
  <c r="F355" i="1"/>
  <c r="F354" i="1"/>
  <c r="F353" i="1"/>
  <c r="F352" i="1"/>
  <c r="G352" i="1"/>
  <c r="G351" i="1"/>
  <c r="F351" i="1"/>
  <c r="G350" i="1"/>
  <c r="F350" i="1"/>
  <c r="F349" i="1"/>
  <c r="F348" i="1"/>
  <c r="F347" i="1"/>
  <c r="F306" i="1"/>
  <c r="F305" i="1"/>
  <c r="F304" i="1"/>
  <c r="F300" i="1"/>
  <c r="F299" i="1"/>
  <c r="F298" i="1"/>
  <c r="F297" i="1"/>
  <c r="F296" i="1"/>
  <c r="F295" i="1"/>
  <c r="G291" i="1"/>
  <c r="F291" i="1"/>
  <c r="G290" i="1"/>
  <c r="F290" i="1"/>
  <c r="G289" i="1"/>
  <c r="F289" i="1"/>
  <c r="G285" i="1"/>
  <c r="F285" i="1"/>
  <c r="G284" i="1"/>
  <c r="F284" i="1"/>
  <c r="G283" i="1"/>
  <c r="F282" i="1"/>
  <c r="G281" i="1"/>
  <c r="F281" i="1"/>
  <c r="G280" i="1"/>
  <c r="F280" i="1"/>
  <c r="F267" i="1"/>
  <c r="G266" i="1"/>
  <c r="F266" i="1"/>
  <c r="G262" i="1"/>
  <c r="F262" i="1"/>
  <c r="F253" i="1"/>
  <c r="G251" i="1"/>
  <c r="F251" i="1"/>
  <c r="F250" i="1"/>
  <c r="F248" i="1"/>
  <c r="G247" i="1"/>
  <c r="F247" i="1"/>
  <c r="F246" i="1"/>
  <c r="F243" i="1"/>
  <c r="G242" i="1"/>
  <c r="F242" i="1"/>
  <c r="F238" i="1"/>
  <c r="G237" i="1"/>
  <c r="F230" i="1"/>
  <c r="F229" i="1"/>
  <c r="F228" i="1"/>
  <c r="G228" i="1"/>
  <c r="G227" i="1"/>
  <c r="F227" i="1"/>
  <c r="F221" i="1"/>
  <c r="G220" i="1"/>
  <c r="F220" i="1"/>
  <c r="G219" i="1"/>
  <c r="F219" i="1"/>
  <c r="F218" i="1"/>
  <c r="F217" i="1"/>
  <c r="F216" i="1"/>
  <c r="G216" i="1"/>
  <c r="G215" i="1"/>
  <c r="F215" i="1"/>
  <c r="G205" i="1"/>
  <c r="G203" i="1"/>
  <c r="F204" i="1"/>
  <c r="F203" i="1"/>
  <c r="G199" i="1"/>
  <c r="F200" i="1"/>
  <c r="F199" i="1"/>
  <c r="F198" i="1"/>
  <c r="G197" i="1"/>
  <c r="F197" i="1"/>
  <c r="F196" i="1"/>
  <c r="G195" i="1"/>
  <c r="F195" i="1"/>
  <c r="F194" i="1"/>
  <c r="G185" i="1"/>
  <c r="G179" i="1"/>
  <c r="F179" i="1"/>
  <c r="G168" i="1"/>
  <c r="F150" i="1"/>
  <c r="F148" i="1"/>
  <c r="F147" i="1"/>
  <c r="G141" i="1"/>
  <c r="G140" i="1"/>
  <c r="F140" i="1"/>
  <c r="G119" i="1"/>
  <c r="G115" i="1"/>
  <c r="G114" i="1"/>
  <c r="F112" i="1"/>
  <c r="G112" i="1"/>
  <c r="F110" i="1"/>
  <c r="G109" i="1"/>
  <c r="G108" i="1"/>
  <c r="G107" i="1"/>
  <c r="G102" i="1"/>
  <c r="G100" i="1"/>
  <c r="G99" i="1"/>
  <c r="G97" i="1"/>
  <c r="F97" i="1"/>
  <c r="G95" i="1"/>
  <c r="F95" i="1"/>
  <c r="G94" i="1"/>
  <c r="F94" i="1"/>
  <c r="G93" i="1"/>
  <c r="F93" i="1"/>
  <c r="G92" i="1"/>
  <c r="F92" i="1"/>
  <c r="G90" i="1"/>
  <c r="F90" i="1"/>
  <c r="G88" i="1"/>
  <c r="F88" i="1"/>
  <c r="G86" i="1"/>
  <c r="F86" i="1"/>
  <c r="F85" i="1"/>
  <c r="G85" i="1"/>
  <c r="G84" i="1"/>
  <c r="F84" i="1"/>
  <c r="G83" i="1"/>
  <c r="F83" i="1"/>
  <c r="G82" i="1"/>
  <c r="F82" i="1"/>
  <c r="G77" i="1"/>
  <c r="G73" i="1"/>
  <c r="F73" i="1"/>
  <c r="G72" i="1"/>
  <c r="F72" i="1"/>
  <c r="G71" i="1"/>
  <c r="F71" i="1"/>
  <c r="G56" i="1"/>
  <c r="G53" i="1"/>
  <c r="G70" i="1"/>
  <c r="G69" i="1"/>
  <c r="F115" i="1"/>
  <c r="G101" i="1"/>
  <c r="F102" i="1"/>
  <c r="F101" i="1"/>
  <c r="F245" i="1"/>
  <c r="F244" i="1"/>
  <c r="G423" i="1"/>
  <c r="G282" i="1"/>
  <c r="F252" i="1"/>
  <c r="G250" i="1"/>
  <c r="F249" i="1"/>
  <c r="G246" i="1"/>
  <c r="G243" i="1"/>
  <c r="G189" i="1"/>
  <c r="F173" i="1"/>
  <c r="F143" i="1"/>
  <c r="G118" i="1"/>
  <c r="G113" i="1"/>
  <c r="F118" i="1"/>
  <c r="F114" i="1"/>
  <c r="F113" i="1"/>
  <c r="G110" i="1"/>
  <c r="F56" i="1"/>
  <c r="F54" i="1"/>
  <c r="F109" i="1"/>
  <c r="F108" i="1"/>
  <c r="F107" i="1"/>
  <c r="F100" i="1"/>
  <c r="F99" i="1"/>
  <c r="F237" i="1"/>
  <c r="F222" i="1"/>
  <c r="F77" i="1"/>
  <c r="F171" i="1"/>
  <c r="F168" i="1"/>
</calcChain>
</file>

<file path=xl/sharedStrings.xml><?xml version="1.0" encoding="utf-8"?>
<sst xmlns="http://schemas.openxmlformats.org/spreadsheetml/2006/main" count="2050" uniqueCount="516">
  <si>
    <t>розничный со скидкой</t>
  </si>
  <si>
    <t>RAL|RR</t>
  </si>
  <si>
    <t>3 м</t>
  </si>
  <si>
    <t>комплект</t>
  </si>
  <si>
    <t>фальц</t>
  </si>
  <si>
    <t>универ</t>
  </si>
  <si>
    <t>Zn</t>
  </si>
  <si>
    <t>шт</t>
  </si>
  <si>
    <t>ZN</t>
  </si>
  <si>
    <t>Лестница кровельная ELITE 400</t>
  </si>
  <si>
    <t>1,8 м</t>
  </si>
  <si>
    <t>Лестница стеновая ELITE 400</t>
  </si>
  <si>
    <t xml:space="preserve">Лестница кровельная PRESTIGE ZN 400 </t>
  </si>
  <si>
    <t>Ограждение ELITE H-680 40*20 (овал)</t>
  </si>
  <si>
    <t>Ограждение ELITE H-1200 40*20 (овал)</t>
  </si>
  <si>
    <t xml:space="preserve">Ограждение PRESTIGE ZN H-600 45*25 (овал) 2 трубы </t>
  </si>
  <si>
    <t xml:space="preserve">Ограждение PRESTIGE ZN H-1000 45*25 (овал) 2 трубы </t>
  </si>
  <si>
    <t xml:space="preserve">Ограждение PRESTIGE ZN H-1200 45*25 (овал) 2 трубы </t>
  </si>
  <si>
    <t>1,2 м</t>
  </si>
  <si>
    <t xml:space="preserve">Снегозадержатель решетчатый PRESTIGE ZN </t>
  </si>
  <si>
    <t>2,5 м</t>
  </si>
  <si>
    <t>Перила к мостику кровельному ELITE H-1200</t>
  </si>
  <si>
    <t>Наименование</t>
  </si>
  <si>
    <t>Цвет</t>
  </si>
  <si>
    <t>Длина</t>
  </si>
  <si>
    <t>Тип</t>
  </si>
  <si>
    <t>Комплектация</t>
  </si>
  <si>
    <t>2 шт</t>
  </si>
  <si>
    <t>4 шт, комплект крепежа</t>
  </si>
  <si>
    <t>3 шт, комплект крепежа</t>
  </si>
  <si>
    <t>Упаковка трубы 40*20 (овал) х/к</t>
  </si>
  <si>
    <t>Упаковка полотна решетчатого снегозадержателя</t>
  </si>
  <si>
    <t>Упаковка опор решетчатого снегозадержателя</t>
  </si>
  <si>
    <t>4 опоры, 4 кронштейна, крепления, комплект крепежа</t>
  </si>
  <si>
    <t>Упаковка полотна кровельного мостика ELITE</t>
  </si>
  <si>
    <t>Упаковка опор мостика кровельного ELITE</t>
  </si>
  <si>
    <t>Упаковка полотна лестницы ELITE</t>
  </si>
  <si>
    <t>Упаковка удлинителя стенового</t>
  </si>
  <si>
    <t>0,9 м</t>
  </si>
  <si>
    <t>Упаковка креплений лестницы на кровлю ELITE</t>
  </si>
  <si>
    <t>Упаковка крепления лестницы к стене ELITE + Крепление-Краб</t>
  </si>
  <si>
    <t>4 крепления к стене, 4 крепления краб, комплект крепежа</t>
  </si>
  <si>
    <t>Упаковка крепления лестницы на кровлю PRESTIGE (для полотна 1,2 м. и 1,8 м.)</t>
  </si>
  <si>
    <t>4 крепления лестницы, 2 крепления лестницы к коньку, комплект крепежа</t>
  </si>
  <si>
    <t>Упаковка крепления лестницы на кровлю PRESTIGE (для полотна 3 м.)</t>
  </si>
  <si>
    <t>6 креплений лестницы, 2 крепления лестницы к коньку, комплект крепежа</t>
  </si>
  <si>
    <t>Упаковка крепления лестницы к стене PRESTIGE</t>
  </si>
  <si>
    <t>4 крепления лестницы,4 крепления краб, 2 крепления лестницы к карнизу, комплект крепежа</t>
  </si>
  <si>
    <t>Универ</t>
  </si>
  <si>
    <t>3 шт</t>
  </si>
  <si>
    <t>Упаковка Кронштейнов ограждения H-680 ELITE</t>
  </si>
  <si>
    <t>Упаковка Кронштейнов ограждения H-1200 ELITE</t>
  </si>
  <si>
    <t>Упаковка кронштейнов ограждения PRESTIGE H- 600</t>
  </si>
  <si>
    <t>Упаковка кронштейнов ограждения PRESTIGE H-1000</t>
  </si>
  <si>
    <t>Упаковка кронштейнов ограждения PRESTIGE H-1200</t>
  </si>
  <si>
    <t>Упаковка укосин ограждения  PRESTIGE</t>
  </si>
  <si>
    <t>Упаковка распорок ограждения PRESTIGE</t>
  </si>
  <si>
    <t>Лестница стеновая PRESTIGE ZN 400</t>
  </si>
  <si>
    <t>Лестница стеновая PRESTIGE ZN 600</t>
  </si>
  <si>
    <t>Ограждение на парапет ELITE H-680 40*20 (овал)</t>
  </si>
  <si>
    <t>парапет</t>
  </si>
  <si>
    <t>Ограждение на парапет PRESTIGE ZN H-600 45*25 (овал)</t>
  </si>
  <si>
    <t>№</t>
  </si>
  <si>
    <t>Цена руб.</t>
  </si>
  <si>
    <t xml:space="preserve">Угол желоба 90 град внешний/внутренний                             </t>
  </si>
  <si>
    <t xml:space="preserve">Угол желоба 135 внешний/внутренний   </t>
  </si>
  <si>
    <t>Воронка желоба</t>
  </si>
  <si>
    <t xml:space="preserve">Колено обводное </t>
  </si>
  <si>
    <t>Замок Желоба</t>
  </si>
  <si>
    <t>Заглушка желоба универсальная</t>
  </si>
  <si>
    <t>Держатель желоба короткий  70 мм</t>
  </si>
  <si>
    <t>-</t>
  </si>
  <si>
    <t>Стандартные цвета: по цветовому каталогу</t>
  </si>
  <si>
    <t>RAL</t>
  </si>
  <si>
    <t>4 крепления лестницы, 4 зажим фальц, 2 крепления лестницы к коньку, комплект крепежа</t>
  </si>
  <si>
    <t>4 крепления лестницы, 4 опоры натур, 2 крепления лестницы к коньку, комплект крепежа</t>
  </si>
  <si>
    <t>6 креплений лестницы, 6 зажим фальц, 2 крепления лестницы к коньку, комплект крепежа</t>
  </si>
  <si>
    <t>6 креплений лестницы, 6 опоры натур, 2 крепления лестницы к коньку, комплект крепежа</t>
  </si>
  <si>
    <t xml:space="preserve">Упаковка опор ограждения ELITE </t>
  </si>
  <si>
    <t>Упаковка опор ограждения PRESTIGE ZN</t>
  </si>
  <si>
    <t>Упаковка опор снегозадержателя PRESTIGE ZN</t>
  </si>
  <si>
    <t>Упаковка трубы 45*25 (овал) ZN</t>
  </si>
  <si>
    <t>NEXT</t>
  </si>
  <si>
    <t>0,6 м</t>
  </si>
  <si>
    <t xml:space="preserve">Снегозадержатели ELITE </t>
  </si>
  <si>
    <t xml:space="preserve">Кровельные мостики ELITE </t>
  </si>
  <si>
    <t xml:space="preserve">Лестницы ELITE </t>
  </si>
  <si>
    <t>Комплектующие к снегозадержателям ELITE</t>
  </si>
  <si>
    <t xml:space="preserve">Комплектующие к кровельным мостикам ELITE </t>
  </si>
  <si>
    <t xml:space="preserve">Комплектующие к лестницам ELITE </t>
  </si>
  <si>
    <t>Комплектующие к ограждениям Серия ELITE</t>
  </si>
  <si>
    <t xml:space="preserve">Планка-переходник ELITE </t>
  </si>
  <si>
    <t>Марка профнастила</t>
  </si>
  <si>
    <t>Ширина верхней полки</t>
  </si>
  <si>
    <t xml:space="preserve">С-44 </t>
  </si>
  <si>
    <t>№1</t>
  </si>
  <si>
    <t>№4</t>
  </si>
  <si>
    <t>Н-60</t>
  </si>
  <si>
    <t>№3</t>
  </si>
  <si>
    <t xml:space="preserve">Н-75 </t>
  </si>
  <si>
    <t>НС-35</t>
  </si>
  <si>
    <t>№2</t>
  </si>
  <si>
    <t>Сэндвич-панель</t>
  </si>
  <si>
    <t>Снегозадержатели PRESTIGE</t>
  </si>
  <si>
    <t>NEXT Фальц/CLICK Фальц</t>
  </si>
  <si>
    <t>Кровельные мостики PRESTIGE</t>
  </si>
  <si>
    <t>Лестницы PRESTIGE</t>
  </si>
  <si>
    <t>Комплектующие к кровельным мостикам PRESTIGE</t>
  </si>
  <si>
    <t>Комплектующие к снегозадержателям PRESTIGE</t>
  </si>
  <si>
    <t>нестандарт</t>
  </si>
  <si>
    <t>Комплектующие к лестницам PRESTIGE</t>
  </si>
  <si>
    <t>Комплектующие к ограждениям PRESTIGE</t>
  </si>
  <si>
    <t>Планка-переходник PRESTIGE</t>
  </si>
  <si>
    <t>Покрытие PRO</t>
  </si>
  <si>
    <t>NEXT Фальц</t>
  </si>
  <si>
    <t>CLICK Фальц</t>
  </si>
  <si>
    <t>Планка фальц PRESTIGE ZN</t>
  </si>
  <si>
    <t>35 мм</t>
  </si>
  <si>
    <t>100 мм</t>
  </si>
  <si>
    <t>122 мм</t>
  </si>
  <si>
    <t>50 мм</t>
  </si>
  <si>
    <t>92 мм</t>
  </si>
  <si>
    <t>70 мм</t>
  </si>
  <si>
    <t xml:space="preserve"> 3 м</t>
  </si>
  <si>
    <t>Покрытие Стандарт</t>
  </si>
  <si>
    <t xml:space="preserve">Мостик кровельный ELITE 330 </t>
  </si>
  <si>
    <t>Ограждение ELITE H-800 40*20 (овал)</t>
  </si>
  <si>
    <t>Упаковка Кронштейнов ограждения H-800 ELITE</t>
  </si>
  <si>
    <t>шт, комплект крепежа</t>
  </si>
  <si>
    <t>Комлект крепежа Втулки</t>
  </si>
  <si>
    <t xml:space="preserve">4 шт </t>
  </si>
  <si>
    <t>Комплект крепежа Прокладки</t>
  </si>
  <si>
    <t>8 шт</t>
  </si>
  <si>
    <t>Комплекты крепежа</t>
  </si>
  <si>
    <t>Лестница Пожарная ГОСТ П1-1 800</t>
  </si>
  <si>
    <t>Лестница Пожарная ГОСТ П1-2 800</t>
  </si>
  <si>
    <t>Площадка выхода пожарной лестницы ГОСТ 800</t>
  </si>
  <si>
    <t>Упаковка Хомута крепления к стене лестницы ГОСТ</t>
  </si>
  <si>
    <t>Упаковка Стенового крепления (фланец) лестницы ГОСТ</t>
  </si>
  <si>
    <t>Упаковка Соединителей лестницы ГОСТ</t>
  </si>
  <si>
    <t>Упаковка Крепления к стене (удлинитель) лестницы ГОСТ</t>
  </si>
  <si>
    <t>0,15 м</t>
  </si>
  <si>
    <t>Х-Кронштейн для забора изготовлен из оцинкованной стали толщиной 2мм. Предназначен для быстрого и капитального монтажа забора. С его помощью монтируются горизонтальные лаги к столбам.</t>
  </si>
  <si>
    <t>Упаковка - гофрокороб 510х230х115</t>
  </si>
  <si>
    <t>Количество в упаковке</t>
  </si>
  <si>
    <t>Вес упаковки</t>
  </si>
  <si>
    <t>ШТ</t>
  </si>
  <si>
    <t>КГ</t>
  </si>
  <si>
    <t>Х-Кронштейн для кирпичного забора</t>
  </si>
  <si>
    <t>Х-Кронштейн для забора 40*40</t>
  </si>
  <si>
    <t>Х-Кронштейн для забора 40*60</t>
  </si>
  <si>
    <t>Х-Кронштейн для забора 40*80</t>
  </si>
  <si>
    <t>Х-Кронштейн столб/направляющая</t>
  </si>
  <si>
    <t>Пурал</t>
  </si>
  <si>
    <t xml:space="preserve"> AlZn</t>
  </si>
  <si>
    <t>Нестандартные цвета</t>
  </si>
  <si>
    <t>Водосточная Система   125/90</t>
  </si>
  <si>
    <t>Труба 0,6 м</t>
  </si>
  <si>
    <t xml:space="preserve">Труба 2 м </t>
  </si>
  <si>
    <t>Труба 3 м</t>
  </si>
  <si>
    <t>3005 RAL</t>
  </si>
  <si>
    <t>Любой цвет по каталогу RAL</t>
  </si>
  <si>
    <t>3009 RAL</t>
  </si>
  <si>
    <t>3011 RAL</t>
  </si>
  <si>
    <t>6002 RAL</t>
  </si>
  <si>
    <t>6005 RAL</t>
  </si>
  <si>
    <t>7004 RAL</t>
  </si>
  <si>
    <t>7024 RAL</t>
  </si>
  <si>
    <t>8017 RAL</t>
  </si>
  <si>
    <t>8019 RAL</t>
  </si>
  <si>
    <t>9010 RAL</t>
  </si>
  <si>
    <t>Ограждение ELITE H-900 40*20 (овал)</t>
  </si>
  <si>
    <t>Ограждение ELITE H-1000 40*20 (овал)</t>
  </si>
  <si>
    <t>Упаковка Кронштейнов ограждения H-900 ELITE</t>
  </si>
  <si>
    <t>Упаковка Кронштейнов ограждения H-1000 ELITE</t>
  </si>
  <si>
    <t xml:space="preserve">Рельс безопасности к мостику кровельному PRESTIGE ZN </t>
  </si>
  <si>
    <t>Кронштейн крепления рельс PRESTIGE ZN</t>
  </si>
  <si>
    <t>Соединитель рельс PRESTIGE ZN</t>
  </si>
  <si>
    <t>Каретка PRESTIGE ZN</t>
  </si>
  <si>
    <t>Комплект крепежа № В/2</t>
  </si>
  <si>
    <t>Комплект крепежа № ДОР/2</t>
  </si>
  <si>
    <t>Комплект крепежа № К/2</t>
  </si>
  <si>
    <t>Комплект крепежа № ЛК</t>
  </si>
  <si>
    <t>Комплект крепежа № ЛК/1</t>
  </si>
  <si>
    <t>Комплект крепежа № ЛК/10</t>
  </si>
  <si>
    <t>Комплект крепежа № ЛК/2</t>
  </si>
  <si>
    <t>Комплект крепежа № ЛК/3</t>
  </si>
  <si>
    <t>Комплект крепежа № ЛК/4</t>
  </si>
  <si>
    <t>Комплект крепежа № ЛК/5</t>
  </si>
  <si>
    <t>Комплект крепежа № ЛК/6</t>
  </si>
  <si>
    <t>Комплект крепежа № ЛК/7</t>
  </si>
  <si>
    <t>Комплект крепежа № ЛК/8</t>
  </si>
  <si>
    <t>Комплект крепежа № ЛК/9</t>
  </si>
  <si>
    <t>Комплект крепежа № ЛС</t>
  </si>
  <si>
    <t>Комплект крепежа № ЛСП</t>
  </si>
  <si>
    <t>Комплект крепежа № ЛСЭ</t>
  </si>
  <si>
    <t>Комплект крепежа № ЛСЭ/1</t>
  </si>
  <si>
    <t>Комплект крепежа № ЛСЭ/2</t>
  </si>
  <si>
    <t>Комплект крепежа № М2/1</t>
  </si>
  <si>
    <t>Комплект крепежа № М2/2</t>
  </si>
  <si>
    <t>Комплект крепежа № М2/3</t>
  </si>
  <si>
    <t>Комплект крепежа № М2/4</t>
  </si>
  <si>
    <t>Комплект крепежа № М3/1</t>
  </si>
  <si>
    <t>Комплект крепежа № М3/3</t>
  </si>
  <si>
    <t>Комплект крепежа № М3/5</t>
  </si>
  <si>
    <t>Комплект крепежа № М4/1</t>
  </si>
  <si>
    <t>Комплект крепежа № М4/2</t>
  </si>
  <si>
    <t>Комплект крепежа № М4/3</t>
  </si>
  <si>
    <t>Комплект крепежа № МП/2</t>
  </si>
  <si>
    <t>Комплект крепежа № МП/3</t>
  </si>
  <si>
    <t>Комплект крепежа № МС/1</t>
  </si>
  <si>
    <t>Комплект крепежа № О1/1</t>
  </si>
  <si>
    <t>Комплект крепежа № О1/5</t>
  </si>
  <si>
    <t>Комплект крепежа № О1/6</t>
  </si>
  <si>
    <t>Комплект крепежа № О1/7</t>
  </si>
  <si>
    <t>Комплект крепежа № О1/8</t>
  </si>
  <si>
    <t>Комплект крепежа № О2/1</t>
  </si>
  <si>
    <t>Комплект крепежа № О2/2</t>
  </si>
  <si>
    <t>Комплект крепежа № О2/3</t>
  </si>
  <si>
    <t>Комплект крепежа № О2/4</t>
  </si>
  <si>
    <t>Комплект крепежа № О3/2</t>
  </si>
  <si>
    <t>Комплект крепежа № О3/3</t>
  </si>
  <si>
    <t>Комплект крепежа № ОП2/1</t>
  </si>
  <si>
    <t>Комплект крепежа № ОР/3</t>
  </si>
  <si>
    <t>Комплект крепежа № ПЛ/1</t>
  </si>
  <si>
    <t>Комплект крепежа № ПЛ/2</t>
  </si>
  <si>
    <t>Комплект крепежа № ПП</t>
  </si>
  <si>
    <t>Комплект крепежа № С1/1</t>
  </si>
  <si>
    <t>Комплект крепежа № С1/1/2</t>
  </si>
  <si>
    <t>Комплект крепежа № С1/3</t>
  </si>
  <si>
    <t>Комплект крепежа № С1/4</t>
  </si>
  <si>
    <t>Комплект крепежа № С1/5</t>
  </si>
  <si>
    <t>Комплект крепежа № С1/6</t>
  </si>
  <si>
    <t>Комплект крепежа № С1/7</t>
  </si>
  <si>
    <t>Комплект крепежа № С2/1</t>
  </si>
  <si>
    <t>Комплект крепежа № С2/1/2</t>
  </si>
  <si>
    <t>Комплект крепежа № С2/1/3</t>
  </si>
  <si>
    <t>Комплект крепежа № С2/2</t>
  </si>
  <si>
    <t>Комплект крепежа № С3/1</t>
  </si>
  <si>
    <t>Комплект крепежа № С3/1/2</t>
  </si>
  <si>
    <t>Комплект крепежа № С3/2</t>
  </si>
  <si>
    <t>Комплект крепежа № С3/3</t>
  </si>
  <si>
    <t>Комплект крепежа № С3/4</t>
  </si>
  <si>
    <t>Комплект крепежа № С3/5</t>
  </si>
  <si>
    <t>Комплект крепежа № С3/6</t>
  </si>
  <si>
    <t>Комплект крепежа № СЗТ/1</t>
  </si>
  <si>
    <t>Комплект крепежа № СЗТ/2</t>
  </si>
  <si>
    <t>Комплект крепежа № СС3/1</t>
  </si>
  <si>
    <t>Комплект крепежа № СС3/1/2</t>
  </si>
  <si>
    <t>Комплект крепежа № СС3/2</t>
  </si>
  <si>
    <t>Комплект крепежа № СС3/2/2</t>
  </si>
  <si>
    <t>Комплект крепежа № СС3/3</t>
  </si>
  <si>
    <t>Комплект крепежа № УО/10</t>
  </si>
  <si>
    <t>Комплект крепежа № УО/12</t>
  </si>
  <si>
    <t>Комплект крепежа № УО/14</t>
  </si>
  <si>
    <t>Комплект крепежа № УО/19</t>
  </si>
  <si>
    <t>Комплект крепежа № УО/2</t>
  </si>
  <si>
    <t>Комплект крепежа № УО/4</t>
  </si>
  <si>
    <t>Комплект крепежа № УО/6</t>
  </si>
  <si>
    <t>Комплект крепежа № УО/7</t>
  </si>
  <si>
    <t>Комплект крепежа № УО/8</t>
  </si>
  <si>
    <t>Комплект крепежа № УП/1</t>
  </si>
  <si>
    <t>Комплект крепежа № УП/2</t>
  </si>
  <si>
    <t>Комплект крепежа № УШ/1</t>
  </si>
  <si>
    <t>Комплект крепежа № УШ/2</t>
  </si>
  <si>
    <t>Комплект крепежа № УШ/3</t>
  </si>
  <si>
    <t>Комплект крепежа № ЭЛ/1</t>
  </si>
  <si>
    <t>Комплект крепежа № ЭТ/1</t>
  </si>
  <si>
    <t xml:space="preserve">Кровельная ступень ELITE 330 </t>
  </si>
  <si>
    <t>2 шт, комплект крепежа</t>
  </si>
  <si>
    <t>EURO</t>
  </si>
  <si>
    <t>1 м</t>
  </si>
  <si>
    <t>Снегозадержатели TEKTA</t>
  </si>
  <si>
    <t xml:space="preserve">Кровельные ограждения TEKTA </t>
  </si>
  <si>
    <t>Комплектующие к снегозадержателям TEKTA</t>
  </si>
  <si>
    <t>Комплектующие к кровельным ограждениям TEKTA</t>
  </si>
  <si>
    <t>Снегозадержатель TEKTA d-25 (круг) 3 опоры</t>
  </si>
  <si>
    <t>Заглушки конька полукруглого ТЕКТА</t>
  </si>
  <si>
    <t>Упаковка Трубы d-25 (круг) х/к</t>
  </si>
  <si>
    <t>Упаковка Опор снегозадержателя ТЕКТА 4 опоры</t>
  </si>
  <si>
    <t>Упаковка Опор снегозадержателя ТЕКТА 3 опоры</t>
  </si>
  <si>
    <t>Упаковка Опор снегозадержателя ТЕКТА 2 опоры</t>
  </si>
  <si>
    <t>Упаковка планок TEKTA д/креп фальц 4 опоры</t>
  </si>
  <si>
    <t>Упаковка планок TEKTA д/креп фальц 3 опоры</t>
  </si>
  <si>
    <t>Упаковка планок TEKTA д/креп фальц 2 опоры</t>
  </si>
  <si>
    <t>Заглушка конька полукруглого TEKTA 125/90</t>
  </si>
  <si>
    <t>Заглушка конька полукруглого TEKTA 150/100</t>
  </si>
  <si>
    <t>Упаковка Кронштейнов ограждения TEKTA H-600</t>
  </si>
  <si>
    <t>Упаковка Кронштейнов ограждения TEKTA H-900</t>
  </si>
  <si>
    <t>Упаковка Кронштейнов ограждения TEKTA H-1200</t>
  </si>
  <si>
    <t>Упаковка укосин ограждения TEKTA</t>
  </si>
  <si>
    <t xml:space="preserve">Упаковка Опор ограждения TEKTA </t>
  </si>
  <si>
    <t>3 опоры, 3 планки, комплект крепежа</t>
  </si>
  <si>
    <t>Противоскользящая ступень лестницы PRESTIGE 400 с крепежом</t>
  </si>
  <si>
    <t>4 опоры, 4 планки, комплект крепежа</t>
  </si>
  <si>
    <t>2 опоры, 2 планки, комплект крепежа</t>
  </si>
  <si>
    <t>Угловое соединение труб ограждения ТЕКТА                             с крепежом</t>
  </si>
  <si>
    <t>Элементы безопасности кровли ТЕКТА™ специально разработаны для обустройства кровель из металлочерепицы, профнастила и фальца с ограниченным бюджетом. Изготовлены из листового холоднокатанного металла толщиной 1,5 мм и трубы круглого сечения d-25 толщиной стенки трубы 1,2 мм</t>
  </si>
  <si>
    <t>WWW.ROOFSYSTEMS.RU</t>
  </si>
  <si>
    <t>NEXT фальц</t>
  </si>
  <si>
    <t xml:space="preserve">Поручень дуговой для лестницы стеновой PRESTIGE ZN </t>
  </si>
  <si>
    <t xml:space="preserve">Лестница кровельная PRESTIGE ZN 600 </t>
  </si>
  <si>
    <t>Противоскользящая ступень лестницы PRESTIGE 600 с крепежом</t>
  </si>
  <si>
    <t>Упаковка Укосин ограждения ELITE</t>
  </si>
  <si>
    <t>Упаковка Соединителей трапа ELITE  к мостику кровельному</t>
  </si>
  <si>
    <t>Упаковка Соединителей трапа PRESTIGE ZN к мостику кровельному</t>
  </si>
  <si>
    <t>Упаковка полотна лестницы PRESTIGE 400</t>
  </si>
  <si>
    <t>Упаковка полотна лестницы PRESTIGE 600</t>
  </si>
  <si>
    <t>Зажим фальц (для укосин ограждения) PRESTIGE с крепежом</t>
  </si>
  <si>
    <t>0,8 м</t>
  </si>
  <si>
    <t>1,15 м</t>
  </si>
  <si>
    <t>1,5 м</t>
  </si>
  <si>
    <t>Перила к мостику кровельному ELITE H-680</t>
  </si>
  <si>
    <t>Перила к мостику кровельному ELITE H-1000</t>
  </si>
  <si>
    <t>Перила к мостику кровельному ELITE H-900</t>
  </si>
  <si>
    <t>Лестница-крыльцо PRESTIGE ZN 485</t>
  </si>
  <si>
    <t>Мостик кровельный PRESTIGE ZN</t>
  </si>
  <si>
    <t>Перила к мостику кровельному PRESTIGE ZN H-600</t>
  </si>
  <si>
    <t>Перила к мостику кровельному PRESTIGE ZN H-1000</t>
  </si>
  <si>
    <t>Перила к мостику кровельному PRESTIGE ZN H-1200</t>
  </si>
  <si>
    <t>Упаковка полотна мостика PRESTIGE  ZN</t>
  </si>
  <si>
    <t>Упаковка опор мостика кровельного PRESTIGE ZN</t>
  </si>
  <si>
    <t>Ограничитель рельс PRESTIGE ZN</t>
  </si>
  <si>
    <t>Упаковка Зажимов PRESTIGE CLICK фальц</t>
  </si>
  <si>
    <t>Желоб водосточный 3 м</t>
  </si>
  <si>
    <t>Желоб водосточный 0,4 м</t>
  </si>
  <si>
    <t>Крепление трубы дерево</t>
  </si>
  <si>
    <t>Крепление трубы кирпич</t>
  </si>
  <si>
    <t>Колено стока (отвод)</t>
  </si>
  <si>
    <t>Держатель желоба длинный 200/290 мм</t>
  </si>
  <si>
    <t>Упаковка соединителей полотна решетчатого снегозадержателя</t>
  </si>
  <si>
    <t>по чертежу с/п</t>
  </si>
  <si>
    <t xml:space="preserve">Упаковка Крепления ограждения к парапету ELITE </t>
  </si>
  <si>
    <t>до 100 мм</t>
  </si>
  <si>
    <t>Упаковка Крепления ограждения к парапету PRESTIGE</t>
  </si>
  <si>
    <t>Упаковка Крепления кровельной лестницы PRESTIGE (для полотна 1,2 м. и 1,8 м.)</t>
  </si>
  <si>
    <t>Упаковка Крепления кровельной лестницы PRESTIGE (для полотна 3 м.)</t>
  </si>
  <si>
    <t>Упаковка Опор кровельной лестницы PRESTIGE</t>
  </si>
  <si>
    <t>Соединитель лаг</t>
  </si>
  <si>
    <t xml:space="preserve">Айсстопперы ELITE </t>
  </si>
  <si>
    <t>Айсстоппер ELITE 40*20 (овал) 40 мм</t>
  </si>
  <si>
    <t>Айсстоппер ELITE 40*20 (овал) 80 мм</t>
  </si>
  <si>
    <t>Айсстопперы PRESTIGE</t>
  </si>
  <si>
    <t>Айсстоппер PRESTIGE 45*25 (овал) 40 мм</t>
  </si>
  <si>
    <t>Айсстоппер PRESTIGE 45*25 (овал) 80 мм</t>
  </si>
  <si>
    <t>Упаковка Опор пожарной площадки PRESTIGE</t>
  </si>
  <si>
    <t xml:space="preserve">Опора-переходник ELITE </t>
  </si>
  <si>
    <t>550 мм</t>
  </si>
  <si>
    <t>Опора-переходник PRESTIGE</t>
  </si>
  <si>
    <t>Лестница-крыльцо PRESTIGE ZN 660</t>
  </si>
  <si>
    <t>Лестница-крыльцо PRESTIGE ZN 800</t>
  </si>
  <si>
    <t>Стойка перил лестницы-крыльца PRESTIGE Н-1200</t>
  </si>
  <si>
    <t>Лестница-крыльцо PRESTIGE ZN 1000</t>
  </si>
  <si>
    <t>Снегозадержатель ECONOM d-25 (круг) 3 Опоры</t>
  </si>
  <si>
    <t>Снегозадержатель ECONOM d-25 (круг) 4 опоры</t>
  </si>
  <si>
    <t>Снегозадержатели ECONOM</t>
  </si>
  <si>
    <t>Комплектующие к снегозадержателям ECONOM</t>
  </si>
  <si>
    <t>Упаковка опор (3 шт) снегозадержателя ECONOM</t>
  </si>
  <si>
    <t>Упаковка опор (4 шт) снегозадержателя ECONOM</t>
  </si>
  <si>
    <t>Снегозадержатель ELITE 40*20 (овал) 2 Опоры</t>
  </si>
  <si>
    <t>Снегозадержатель ELITE 40*20 (овал) 3 опоры</t>
  </si>
  <si>
    <t>Снегозадержатель ELITE 40*20 (овал) 4 опоры</t>
  </si>
  <si>
    <t>Упаковка опор (2 шт) снегозадержателя ELITE</t>
  </si>
  <si>
    <t>Упаковка опор (3 шт) снегозадержателя ELITE</t>
  </si>
  <si>
    <t>Упаковка опор (4 шт) снегозадержателя ELITE</t>
  </si>
  <si>
    <t>3 опоры, 2 трубы, комплект крепежа</t>
  </si>
  <si>
    <t>3 опоры, 3 планки, 2 трубы, комплект крепежа</t>
  </si>
  <si>
    <t>4 опоры, 2 трубы, комплект крепежа</t>
  </si>
  <si>
    <t>4 опоры, 4 планки, 2 трубы, комплект крепежа</t>
  </si>
  <si>
    <t>3 опоры, комплект крепежа</t>
  </si>
  <si>
    <t>4 опоры, комплект крепежа</t>
  </si>
  <si>
    <t>2 опоры, 2 трубы, комплект крепежа</t>
  </si>
  <si>
    <t>2 опоры, 2 планки, 2 трубы, комплект крепежа</t>
  </si>
  <si>
    <t>2 опоры, комплект крепежа</t>
  </si>
  <si>
    <t>Снегозадержатель ECONOM d-25 (круг) 2 Опоры</t>
  </si>
  <si>
    <t>2 опоры низ, 2 опоры верх, полотно, комплект крепежа</t>
  </si>
  <si>
    <t>2 опоры низ, 2 опоры верх, 2 планки, полотно, комплект крепежа</t>
  </si>
  <si>
    <t>3 опоры низ, 3 опоры верх, полотно, комплект крепежа</t>
  </si>
  <si>
    <t>3 опоры низ, 3 опоры верх, 3 планки, полотно, комплект крепежа</t>
  </si>
  <si>
    <t>3 крепления, 3 кронштейна, 2 трубы, комплект крепежа</t>
  </si>
  <si>
    <t>1 полотно</t>
  </si>
  <si>
    <t>2 опоры верх, 2 опоры низ, комплект крепежа</t>
  </si>
  <si>
    <t>2 опоры верх, 2 опоры низ, 2 планки, комплект крепежа</t>
  </si>
  <si>
    <t>3 опоры верх, 3 опоры низ, комплект крепежа</t>
  </si>
  <si>
    <t>3 опоры верх, 3 опоры низ, 3 планки, комплект крепежа</t>
  </si>
  <si>
    <t>4 крепления, полотно, комплект крепежа</t>
  </si>
  <si>
    <t>4 крепления, 2 опоры, 2 планки, полотно, комплект крепежа</t>
  </si>
  <si>
    <t>4 крепления, 4 удлинителя, 4 крепления-краб, полотно, комплект крепежа</t>
  </si>
  <si>
    <t>4 удлинителя</t>
  </si>
  <si>
    <t>4 крепления, комплект крепежа</t>
  </si>
  <si>
    <t>4 крепления, 2 опры, 2 планки, комплект крепежа</t>
  </si>
  <si>
    <t>3 опоры, 3 кронштейна, 3 укосины, 2 трубы, комплект крепежа</t>
  </si>
  <si>
    <t>3 опоры, 3 планки, 3 кронштейна, 3 укосины, 2 трубы, комплект крепежа</t>
  </si>
  <si>
    <t>Угловое соединение труб ограждения ELITE  с крепежом</t>
  </si>
  <si>
    <t>3 кронштейна, комплект крепежа</t>
  </si>
  <si>
    <t>3 укосины</t>
  </si>
  <si>
    <t>3 крепления, комплект крепежа</t>
  </si>
  <si>
    <t>Снегозадержатель PRESTIGE ZN 45*25 (овал) 4 опоры</t>
  </si>
  <si>
    <t>Снегозадержатель PRESTIGE ZN 45*25 (овал) 2 опоры</t>
  </si>
  <si>
    <t>Фальц-америка (1,5″)</t>
  </si>
  <si>
    <t>Фальц</t>
  </si>
  <si>
    <t>Композит</t>
  </si>
  <si>
    <t>Натур</t>
  </si>
  <si>
    <t>4 опоры, 12 зажим-фальц, 2 трубы, комплект крепежа</t>
  </si>
  <si>
    <t>4 опоры-фальц, 2 трубы, комплект крепежа</t>
  </si>
  <si>
    <t>4 опоры, 8 зажим-фальц, 2 трубы, комплект крепежа (на фальц и мч)</t>
  </si>
  <si>
    <t>2 опоры, 6 зажим-фальц, 2 трубы, комплект крепежа</t>
  </si>
  <si>
    <t>2 опоры-фальц, 2 трубы, комплект крепежа</t>
  </si>
  <si>
    <t>2 опоры, 4 зажим-фальц, 2 трубы, комплект крепежа (на фальц и мч)</t>
  </si>
  <si>
    <t>4 опоры, 4 кронштейна, 1 полотно, комплект крепежа</t>
  </si>
  <si>
    <t>4 опоры, 4 планки, 4 кронштейна, 1 полотно, комплект крепежа</t>
  </si>
  <si>
    <t>4 опоры, 12 зажим-фальц, 4 кронштейна, 1 полотно, комплект крепежа</t>
  </si>
  <si>
    <t>4 опоры, 12 зажимов, комплект крепежа</t>
  </si>
  <si>
    <t>4 опоры-фальц, комплект крепежа</t>
  </si>
  <si>
    <t>4 опоры, 8 зажим-фальц, комплект крепежа (на фальц и мч)</t>
  </si>
  <si>
    <t>3 зажима , комплект крепежа</t>
  </si>
  <si>
    <t>4 опоры, 12 зажим-фальц, 4 кронштейна, комплект крепежа</t>
  </si>
  <si>
    <t>4 опоры, 4 планки, 4 кронштейна, комплект крепежа</t>
  </si>
  <si>
    <t>2 опоры верх, 2 опоры низ, 6 зажимов, комплект крепежа</t>
  </si>
  <si>
    <t>2 опоры низ, 2 опоры верх, 6 зажимов, полотно, комплект крепежа</t>
  </si>
  <si>
    <t>3 опоры низ, 3 опоры верх, 9 зажимов, полотно, комплект крепежа</t>
  </si>
  <si>
    <t>3 опоры верх, 3 опоры низ, 9 зажимов, комплект крепежа</t>
  </si>
  <si>
    <t>Парапет</t>
  </si>
  <si>
    <t>4 крепления лестницы, 2 крепления конька, 1 полотно, комплект крепежа</t>
  </si>
  <si>
    <t>6 крепления лестницы, 2 крепления конька, 1 полотно, комплект крепежа</t>
  </si>
  <si>
    <t>4 крепления лестницы, 4 зажим-фальц, 2 крепления конька, 1 полотно, комплект крепежа</t>
  </si>
  <si>
    <t>6 крепления лестницы, 6 зажим-фальц, 2 крепления конька, 1 полотно, комплект крепежа</t>
  </si>
  <si>
    <t>4 крепления лестницы, 2 опоры, 2 планки, 2 крепления конька, 1 полотно, комплект крепежа</t>
  </si>
  <si>
    <t>4 крепления лестницы, 4 опоры, 2 крепления конька, 1 полотно, комплект крепежа</t>
  </si>
  <si>
    <t>6 крепления лестницы, 2 опоры, 2 планки, 2 крепления конька, 1 полотно, комплект крепежа</t>
  </si>
  <si>
    <t>6 крепления лестницы, 6 опор, 2 крепления конька, 1 полотно, комплект крепежа</t>
  </si>
  <si>
    <t>1 ступень, 2 крепления, комплект крепежа</t>
  </si>
  <si>
    <t>4 крепления, 4 удлинителя, 4 крепления-краб, 2 крепления к карнизу, 1 полотно, комплект крепежа</t>
  </si>
  <si>
    <t>2 крепления, 2 поручня, комплект крепежа</t>
  </si>
  <si>
    <t>2 тетивы, 3 ступени, 4 удлинителя, 4 хомута, 8 фланцев, 2 соединителя, комплект крепежа</t>
  </si>
  <si>
    <t>2 тетивы, 7 ступеней, 4 удлинителя, 4 хомута, 8 фланцев, 2 соединителя, комплект крепежа</t>
  </si>
  <si>
    <t>2 тетивы, 7 ступеней, 4 удлинителя, 4 хомута, 8 фланцев, 2 соединителя, 5 дуг, 5 вертикалей, комплект крепежа</t>
  </si>
  <si>
    <t>2 тетивы, 3 ступени, 4 удлинителя, 4 хомута, 8 фланцев, 2 соединителя, 3 дуги,  3 вертикали,комплект крепежа</t>
  </si>
  <si>
    <t>2 поперечины, полотно трапа (2/3/4), 4 стойки, 1 рег.колонна, 1 колонна, 2 опоры, 2 ступени, 2 направляющие, 2 удлинителя, 2 отбойника, 4 трубы, комплект крепежа</t>
  </si>
  <si>
    <t>2 опоры, 1 рег.колонна, 1 колонна, комплект крепежа</t>
  </si>
  <si>
    <t>2 опоры, 8 зажим-фальц, 2 опоры-переходник, 2 рег.колонны, комплект крепежа</t>
  </si>
  <si>
    <t>2 удлинителя, 2 крепления, 4 фланца, 2 хомута, 4 соединителя, 1 ступень, комплект крепежа</t>
  </si>
  <si>
    <t>2 полотна, 4 ступени, комплект крепежа</t>
  </si>
  <si>
    <t>3 полотна, 4 ступени, 8 зажим-фальц, 4 опоры-переходник, комплект крепежа</t>
  </si>
  <si>
    <t>8 фланцев</t>
  </si>
  <si>
    <t>4 хомута</t>
  </si>
  <si>
    <t>7 ступеней</t>
  </si>
  <si>
    <t>4 соединителя</t>
  </si>
  <si>
    <t>2 тетивы, комплект крепежа</t>
  </si>
  <si>
    <t>5 вертикалей</t>
  </si>
  <si>
    <t>Упаковка Тетивы лестницы ГОСТ 1,05 м</t>
  </si>
  <si>
    <t>Упаковка Тетивы лестницы ГОСТ 2,45 м</t>
  </si>
  <si>
    <t>Упаковка Вертикалей экрана ГОСТ 1,05 м</t>
  </si>
  <si>
    <t>Упаковка Вертикалей экрана ГОСТ 2,45 м</t>
  </si>
  <si>
    <t>5 дуг, 10 уголков крепления дуги, комплект крепежа</t>
  </si>
  <si>
    <t>Упаковка Дуг экрана ГОСТ 800 2,45 м</t>
  </si>
  <si>
    <t>Упаковка Дуг экрана ГОСТ 800 1,05 м</t>
  </si>
  <si>
    <t>3 дуг, 6 уголков крепления дуги, комплект крепежа</t>
  </si>
  <si>
    <t>1 планка, комплект крепежа</t>
  </si>
  <si>
    <t>Угловое соединение труб ограждения PRESTIGE ZN с крепежом</t>
  </si>
  <si>
    <t>3 опоры-фальц, комплект крепежа</t>
  </si>
  <si>
    <t>6 опор, комплект крепежа</t>
  </si>
  <si>
    <t>2 распорки</t>
  </si>
  <si>
    <t>4 крепления лестницы, 4 крепления краб, 2 крепления лестницы к карнизу, комплект крепежа</t>
  </si>
  <si>
    <t>2 трубы</t>
  </si>
  <si>
    <t>Снегозадержатель TEKTA d-25 (круг) 4 опоры</t>
  </si>
  <si>
    <t>Снегозадержатель TEKTA d-25 (круг) 2 опоры</t>
  </si>
  <si>
    <t>МЧ</t>
  </si>
  <si>
    <t>Упаковка опор (2 шт) снегозадержателя ECONOM</t>
  </si>
  <si>
    <t>3 кронштейна</t>
  </si>
  <si>
    <t>1 крепление ограждения, 2 краб-боковой, 1 крепление-краб, 1 труба, комплект крепежа</t>
  </si>
  <si>
    <t xml:space="preserve">Кровельные ограждения ELITE </t>
  </si>
  <si>
    <t>Кровельные ограждения ECONOM</t>
  </si>
  <si>
    <t>Кровельные ограждения PRESTIGE</t>
  </si>
  <si>
    <t>Комплектующие к кровельным ограждениям ECONOM</t>
  </si>
  <si>
    <t>Упаковка Опор ограждения ECONOM</t>
  </si>
  <si>
    <t>3 опоры, 3 кронштейна, 3 укосины, 4 трубы, комплект крепежа</t>
  </si>
  <si>
    <t>3 опоры, 3 планки, 3 кронштейна, 3 укосины, 4 трубы, комплект крепежа</t>
  </si>
  <si>
    <t>Упаковка Кронштейнов ограждения ECONOM H-600</t>
  </si>
  <si>
    <t>Упаковка Кронштейнов ограждения ECONOM H-900</t>
  </si>
  <si>
    <t>Упаковка Кронштейнов ограждения ECONOM H-1200</t>
  </si>
  <si>
    <t>Упаковка укосин ограждения ECONOM</t>
  </si>
  <si>
    <t>Угловое соединение труб ограждения ECONOM с крепежом</t>
  </si>
  <si>
    <t>3 опоры, 3 кронштейна, 3 укосины, 2 распорки, 2 трубы, комплект крепежа</t>
  </si>
  <si>
    <t>3 опоры, 3 планки, 3 кронштейна, 3 укосины, 2 распорки, 2 трубы, комплект крепежа</t>
  </si>
  <si>
    <t>3 опоры-фальц, 3 кронштейна, 3 укосины, 2 распорки, 2 трубы, комплект крепежа</t>
  </si>
  <si>
    <t>6 опор, 3 кронштейна, 3 укосины, 2 распорки, 2 трубы, комплект крепежа</t>
  </si>
  <si>
    <t>3 крепления, 3 кронштейна, 2 распорки, 2 трубы, комплект крепежа</t>
  </si>
  <si>
    <t>Упаковка Ступеней лестницы ГОСТ 800 2,45</t>
  </si>
  <si>
    <t>Упаковка Ступеней лестницы ГОСТ 800 1,05</t>
  </si>
  <si>
    <t>4 ступени</t>
  </si>
  <si>
    <t>МП-35</t>
  </si>
  <si>
    <t>40 мм</t>
  </si>
  <si>
    <t>119 мм</t>
  </si>
  <si>
    <t>№5</t>
  </si>
  <si>
    <t xml:space="preserve">НС-44 </t>
  </si>
  <si>
    <t>66 мм</t>
  </si>
  <si>
    <t>108 мм</t>
  </si>
  <si>
    <t>Н-57</t>
  </si>
  <si>
    <t>93 мм</t>
  </si>
  <si>
    <t>44 мм</t>
  </si>
  <si>
    <t>Ограждение ТЕКТА (круг) H-600 (ТУ)</t>
  </si>
  <si>
    <t>Ограждение ТЕКТА (круг) H-900 (ТУ)</t>
  </si>
  <si>
    <t>Ограждение ТЕКТА (круг) H-1200 (ТУ)</t>
  </si>
  <si>
    <t>Ограждение ТЕКТА (круг) H-600 со снегозадержателем (ТУ)</t>
  </si>
  <si>
    <t>Ограждение ТЕКТА (круг) H-900 со снегозадержателем (ТУ)</t>
  </si>
  <si>
    <t>Ограждение ТЕКТА (круг) H-1200 со снегозадержателем (ТУ)</t>
  </si>
  <si>
    <t>Ограждение ECONOM d-25 (круг) H-600 (ТУ)</t>
  </si>
  <si>
    <t>Ограждение ECONOM d-25 (круг) H-900 (ТУ)</t>
  </si>
  <si>
    <t>Ограждение ECONOM d-25 (круг) H-1200 (ТУ)</t>
  </si>
  <si>
    <t>Ограждение ECONOM d-25 (круг) H-600 со снегозадержателем (ТУ)</t>
  </si>
  <si>
    <t>Ограждение ECONOM d-25 (круг) H-900 со снегозадержателем (ТУ)</t>
  </si>
  <si>
    <t>Ограждение ECONOM d-25 (круг) H-1200 со снегозадержателем (ТУ)</t>
  </si>
  <si>
    <t>Упаковка Креплений торцевых PRESTIGE фальц</t>
  </si>
  <si>
    <t>2 зажим-фальц, опора-переходник, комплект крепежа</t>
  </si>
  <si>
    <t>860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</si>
</sst>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"/>
      <family val="2"/>
      <charset val="204"/>
    </font>
    <font>
      <sz val="11"/>
      <color indexed="8"/>
      <name val="Arial"/>
      <family val="2"/>
      <charset val="204"/>
    </font>
    <font>
      <u/>
      <sz val="11"/>
      <color indexed="12"/>
      <name val="Calibri"/>
      <family val="2"/>
      <charset val="204"/>
    </font>
    <font>
      <b/>
      <i/>
      <sz val="11"/>
      <name val="Arial"/>
      <family val="2"/>
      <charset val="204"/>
    </font>
    <font>
      <b/>
      <i/>
      <sz val="1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4"/>
      <color rgb="FFFF0000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charset val="204"/>
      <scheme val="minor"/>
    </font>
    <font>
      <sz val="11"/>
      <color rgb="FFFF0000"/>
      <name val="Arial"/>
      <family val="2"/>
      <charset val="204"/>
    </font>
    <font>
      <b/>
      <sz val="11"/>
      <color theme="7" tint="-0.499984740745262"/>
      <name val="Arial"/>
      <family val="2"/>
      <charset val="204"/>
    </font>
    <font>
      <sz val="11"/>
      <color theme="7" tint="-0.499984740745262"/>
      <name val="Arial"/>
      <family val="2"/>
      <charset val="204"/>
    </font>
    <font>
      <b/>
      <sz val="14"/>
      <color theme="9" tint="-0.249977111117893"/>
      <name val="Arial"/>
      <family val="2"/>
      <charset val="204"/>
    </font>
    <font>
      <sz val="11"/>
      <color theme="9" tint="-0.249977111117893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Calibri"/>
      <family val="2"/>
      <charset val="204"/>
    </font>
    <font>
      <b/>
      <sz val="28"/>
      <color rgb="FFFF0000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34"/>
      </patternFill>
    </fill>
    <fill>
      <patternFill patternType="solid">
        <fgColor indexed="9"/>
        <bgColor indexed="64"/>
      </patternFill>
    </fill>
    <fill>
      <patternFill patternType="solid">
        <fgColor theme="7" tint="-0.499984740745262"/>
        <bgColor indexed="26"/>
      </patternFill>
    </fill>
    <fill>
      <patternFill patternType="solid">
        <fgColor theme="7" tint="-0.499984740745262"/>
        <bgColor indexed="64"/>
      </patternFill>
    </fill>
  </fills>
  <borders count="90">
    <border>
      <left/>
      <right/>
      <top/>
      <bottom/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indexed="10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indexed="10"/>
      </right>
      <top style="thin">
        <color indexed="10"/>
      </top>
      <bottom/>
      <diagonal/>
    </border>
    <border>
      <left style="thin">
        <color rgb="FFFF0000"/>
      </left>
      <right/>
      <top style="thin">
        <color indexed="10"/>
      </top>
      <bottom/>
      <diagonal/>
    </border>
    <border>
      <left style="thin">
        <color rgb="FFFF0000"/>
      </left>
      <right/>
      <top/>
      <bottom style="thin">
        <color indexed="1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indexed="10"/>
      </right>
      <top/>
      <bottom/>
      <diagonal/>
    </border>
    <border>
      <left style="thin">
        <color rgb="FFFF0000"/>
      </left>
      <right style="thin">
        <color rgb="FFFF0000"/>
      </right>
      <top/>
      <bottom style="thin">
        <color indexed="1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 style="thin">
        <color indexed="10"/>
      </top>
      <bottom/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 style="thin">
        <color indexed="10"/>
      </right>
      <top/>
      <bottom style="thin">
        <color indexed="1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indexed="10"/>
      </left>
      <right style="thin">
        <color indexed="10"/>
      </right>
      <top style="thin">
        <color rgb="FFFF0000"/>
      </top>
      <bottom/>
      <diagonal/>
    </border>
    <border>
      <left style="thin">
        <color indexed="10"/>
      </left>
      <right style="thin">
        <color indexed="10"/>
      </right>
      <top/>
      <bottom style="thin">
        <color rgb="FFFF000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 style="thin">
        <color rgb="FF7030A0"/>
      </right>
      <top/>
      <bottom style="thin">
        <color rgb="FF7030A0"/>
      </bottom>
      <diagonal/>
    </border>
    <border>
      <left/>
      <right style="thin">
        <color rgb="FF7030A0"/>
      </right>
      <top style="thin">
        <color rgb="FF7030A0"/>
      </top>
      <bottom/>
      <diagonal/>
    </border>
    <border>
      <left/>
      <right style="thin">
        <color rgb="FF7030A0"/>
      </right>
      <top/>
      <bottom/>
      <diagonal/>
    </border>
    <border>
      <left/>
      <right style="thin">
        <color rgb="FF7030A0"/>
      </right>
      <top/>
      <bottom style="thin">
        <color rgb="FF7030A0"/>
      </bottom>
      <diagonal/>
    </border>
    <border>
      <left style="thin">
        <color rgb="FF7030A0"/>
      </left>
      <right style="thin">
        <color rgb="FF7030A0"/>
      </right>
      <top/>
      <bottom/>
      <diagonal/>
    </border>
    <border>
      <left style="medium">
        <color rgb="FF7030A0"/>
      </left>
      <right style="thin">
        <color rgb="FF7030A0"/>
      </right>
      <top/>
      <bottom style="medium">
        <color rgb="FF7030A0"/>
      </bottom>
      <diagonal/>
    </border>
    <border>
      <left style="thin">
        <color rgb="FF7030A0"/>
      </left>
      <right style="medium">
        <color rgb="FF7030A0"/>
      </right>
      <top/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/>
      <right/>
      <top style="medium">
        <color rgb="FF7030A0"/>
      </top>
      <bottom/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/>
      <top/>
      <bottom/>
      <diagonal/>
    </border>
    <border>
      <left/>
      <right style="medium">
        <color rgb="FF7030A0"/>
      </right>
      <top/>
      <bottom/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/>
      <right/>
      <top/>
      <bottom style="medium">
        <color rgb="FF7030A0"/>
      </bottom>
      <diagonal/>
    </border>
    <border>
      <left/>
      <right style="medium">
        <color rgb="FF7030A0"/>
      </right>
      <top/>
      <bottom style="medium">
        <color rgb="FF7030A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indexed="8"/>
      </right>
      <top style="medium">
        <color rgb="FFFF0000"/>
      </top>
      <bottom style="medium">
        <color rgb="FFFF0000"/>
      </bottom>
      <diagonal/>
    </border>
    <border>
      <left style="medium">
        <color indexed="8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10"/>
      </left>
      <right style="thin">
        <color indexed="10"/>
      </right>
      <top style="thin">
        <color rgb="FFFF000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rgb="FFFF0000"/>
      </top>
      <bottom style="thin">
        <color rgb="FFFF000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rgb="FFFF0000"/>
      </bottom>
      <diagonal/>
    </border>
    <border>
      <left style="thin">
        <color indexed="10"/>
      </left>
      <right/>
      <top style="thin">
        <color rgb="FFFF0000"/>
      </top>
      <bottom/>
      <diagonal/>
    </border>
    <border>
      <left style="thin">
        <color indexed="10"/>
      </left>
      <right/>
      <top/>
      <bottom style="thin">
        <color rgb="FFFF0000"/>
      </bottom>
      <diagonal/>
    </border>
    <border>
      <left style="thin">
        <color rgb="FFFF0000"/>
      </left>
      <right style="thin">
        <color indexed="10"/>
      </right>
      <top style="thin">
        <color rgb="FFFF0000"/>
      </top>
      <bottom/>
      <diagonal/>
    </border>
    <border>
      <left style="thin">
        <color rgb="FFFF0000"/>
      </left>
      <right style="thin">
        <color indexed="10"/>
      </right>
      <top/>
      <bottom style="thin">
        <color rgb="FFFF0000"/>
      </bottom>
      <diagonal/>
    </border>
    <border>
      <left style="thin">
        <color indexed="10"/>
      </left>
      <right/>
      <top style="thin">
        <color indexed="10"/>
      </top>
      <bottom style="thin">
        <color rgb="FFFF0000"/>
      </bottom>
      <diagonal/>
    </border>
    <border>
      <left style="thin">
        <color indexed="10"/>
      </left>
      <right style="thin">
        <color rgb="FFFF0000"/>
      </right>
      <top style="thin">
        <color rgb="FFFF0000"/>
      </top>
      <bottom/>
      <diagonal/>
    </border>
    <border>
      <left style="thin">
        <color indexed="10"/>
      </left>
      <right style="thin">
        <color rgb="FFFF0000"/>
      </right>
      <top/>
      <bottom/>
      <diagonal/>
    </border>
    <border>
      <left style="thin">
        <color indexed="10"/>
      </left>
      <right style="thin">
        <color rgb="FFFF0000"/>
      </right>
      <top/>
      <bottom style="thin">
        <color indexed="10"/>
      </bottom>
      <diagonal/>
    </border>
    <border>
      <left style="thin">
        <color indexed="10"/>
      </left>
      <right style="thin">
        <color rgb="FFFF0000"/>
      </right>
      <top/>
      <bottom style="thin">
        <color rgb="FFFF0000"/>
      </bottom>
      <diagonal/>
    </border>
    <border>
      <left style="thin">
        <color indexed="10"/>
      </left>
      <right/>
      <top style="thin">
        <color rgb="FFFF0000"/>
      </top>
      <bottom style="thin">
        <color rgb="FFFF0000"/>
      </bottom>
      <diagonal/>
    </border>
    <border>
      <left style="thin">
        <color indexed="10"/>
      </left>
      <right style="thin">
        <color rgb="FFFF0000"/>
      </right>
      <top style="thin">
        <color indexed="10"/>
      </top>
      <bottom/>
      <diagonal/>
    </border>
    <border>
      <left/>
      <right style="thin">
        <color rgb="FFFF0000"/>
      </right>
      <top style="thin">
        <color indexed="10"/>
      </top>
      <bottom/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thin">
        <color rgb="FFFF0000"/>
      </left>
      <right/>
      <top style="thin">
        <color indexed="64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/>
      <diagonal/>
    </border>
    <border>
      <left style="thin">
        <color rgb="FFFF0000"/>
      </left>
      <right/>
      <top style="thin">
        <color indexed="64"/>
      </top>
      <bottom/>
      <diagonal/>
    </border>
    <border>
      <left style="thin">
        <color rgb="FFFF0000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</borders>
  <cellStyleXfs count="4">
    <xf numFmtId="0" fontId="0" fillId="0" borderId="0"/>
    <xf numFmtId="0" fontId="4" fillId="0" borderId="0" applyNumberFormat="0" applyFill="0" applyBorder="0" applyProtection="0"/>
    <xf numFmtId="0" fontId="1" fillId="0" borderId="0"/>
    <xf numFmtId="0" fontId="21" fillId="0" borderId="0"/>
  </cellStyleXfs>
  <cellXfs count="442">
    <xf numFmtId="0" fontId="0" fillId="0" borderId="0" xfId="0"/>
    <xf numFmtId="0" fontId="0" fillId="0" borderId="0" xfId="0" applyProtection="1"/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5" fillId="2" borderId="0" xfId="0" applyFont="1" applyFill="1" applyAlignment="1" applyProtection="1">
      <alignment horizontal="left" vertical="center"/>
      <protection hidden="1"/>
    </xf>
    <xf numFmtId="10" fontId="6" fillId="0" borderId="0" xfId="2" applyNumberFormat="1" applyFont="1" applyBorder="1" applyAlignment="1" applyProtection="1">
      <alignment horizontal="right"/>
      <protection hidden="1"/>
    </xf>
    <xf numFmtId="0" fontId="2" fillId="2" borderId="13" xfId="0" applyFont="1" applyFill="1" applyBorder="1" applyAlignment="1" applyProtection="1">
      <alignment horizontal="center" vertical="center" wrapText="1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10" fontId="6" fillId="0" borderId="0" xfId="2" applyNumberFormat="1" applyFont="1" applyFill="1" applyBorder="1" applyAlignment="1" applyProtection="1">
      <alignment horizontal="right"/>
      <protection hidden="1"/>
    </xf>
    <xf numFmtId="0" fontId="3" fillId="0" borderId="0" xfId="0" applyFont="1" applyFill="1" applyProtection="1">
      <protection hidden="1"/>
    </xf>
    <xf numFmtId="0" fontId="7" fillId="3" borderId="13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vertical="center"/>
      <protection hidden="1"/>
    </xf>
    <xf numFmtId="0" fontId="2" fillId="2" borderId="10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2" fontId="2" fillId="2" borderId="4" xfId="0" applyNumberFormat="1" applyFont="1" applyFill="1" applyBorder="1" applyAlignment="1" applyProtection="1">
      <alignment horizontal="center" vertical="center"/>
      <protection hidden="1"/>
    </xf>
    <xf numFmtId="0" fontId="2" fillId="0" borderId="15" xfId="0" applyFont="1" applyFill="1" applyBorder="1" applyAlignment="1" applyProtection="1">
      <alignment horizontal="center" vertical="center" wrapText="1"/>
      <protection hidden="1"/>
    </xf>
    <xf numFmtId="0" fontId="2" fillId="2" borderId="14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9" fillId="0" borderId="15" xfId="0" applyFont="1" applyBorder="1" applyAlignment="1" applyProtection="1">
      <alignment horizontal="center" vertical="center"/>
      <protection hidden="1"/>
    </xf>
    <xf numFmtId="0" fontId="9" fillId="0" borderId="21" xfId="0" applyFont="1" applyFill="1" applyBorder="1" applyAlignment="1" applyProtection="1">
      <alignment horizontal="center" vertical="center"/>
      <protection hidden="1"/>
    </xf>
    <xf numFmtId="0" fontId="5" fillId="2" borderId="13" xfId="0" applyFont="1" applyFill="1" applyBorder="1" applyAlignment="1" applyProtection="1">
      <alignment horizontal="center" vertical="center"/>
      <protection hidden="1"/>
    </xf>
    <xf numFmtId="0" fontId="2" fillId="0" borderId="5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2" fontId="2" fillId="2" borderId="20" xfId="0" applyNumberFormat="1" applyFont="1" applyFill="1" applyBorder="1" applyAlignment="1" applyProtection="1">
      <alignment horizontal="center" vertical="center"/>
      <protection hidden="1"/>
    </xf>
    <xf numFmtId="0" fontId="9" fillId="0" borderId="25" xfId="0" applyFont="1" applyFill="1" applyBorder="1" applyAlignment="1" applyProtection="1">
      <alignment horizontal="center" vertical="center"/>
      <protection hidden="1"/>
    </xf>
    <xf numFmtId="0" fontId="9" fillId="0" borderId="22" xfId="0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10" fontId="14" fillId="0" borderId="13" xfId="2" applyNumberFormat="1" applyFont="1" applyBorder="1" applyAlignment="1" applyProtection="1">
      <alignment horizontal="center" vertical="center"/>
      <protection hidden="1"/>
    </xf>
    <xf numFmtId="9" fontId="6" fillId="5" borderId="13" xfId="2" applyNumberFormat="1" applyFont="1" applyFill="1" applyBorder="1" applyAlignment="1" applyProtection="1">
      <alignment horizontal="center" vertical="center"/>
      <protection locked="0"/>
    </xf>
    <xf numFmtId="1" fontId="12" fillId="0" borderId="13" xfId="0" applyNumberFormat="1" applyFont="1" applyBorder="1" applyAlignment="1" applyProtection="1">
      <alignment horizontal="center" vertical="center"/>
      <protection hidden="1"/>
    </xf>
    <xf numFmtId="2" fontId="12" fillId="0" borderId="13" xfId="0" applyNumberFormat="1" applyFont="1" applyBorder="1" applyAlignment="1" applyProtection="1">
      <alignment horizontal="center" vertical="center"/>
      <protection hidden="1"/>
    </xf>
    <xf numFmtId="0" fontId="0" fillId="0" borderId="13" xfId="0" applyBorder="1" applyProtection="1">
      <protection hidden="1"/>
    </xf>
    <xf numFmtId="0" fontId="12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/>
      <protection hidden="1"/>
    </xf>
    <xf numFmtId="1" fontId="2" fillId="2" borderId="13" xfId="0" applyNumberFormat="1" applyFont="1" applyFill="1" applyBorder="1" applyAlignment="1" applyProtection="1">
      <alignment horizontal="center" vertical="center"/>
      <protection hidden="1"/>
    </xf>
    <xf numFmtId="1" fontId="2" fillId="0" borderId="13" xfId="0" applyNumberFormat="1" applyFont="1" applyFill="1" applyBorder="1" applyAlignment="1" applyProtection="1">
      <alignment horizontal="center" vertical="center"/>
      <protection hidden="1"/>
    </xf>
    <xf numFmtId="0" fontId="2" fillId="2" borderId="12" xfId="0" applyFont="1" applyFill="1" applyBorder="1" applyAlignment="1" applyProtection="1">
      <alignment horizontal="left" vertical="center" wrapText="1"/>
      <protection hidden="1"/>
    </xf>
    <xf numFmtId="0" fontId="2" fillId="2" borderId="37" xfId="0" applyFont="1" applyFill="1" applyBorder="1" applyAlignment="1" applyProtection="1">
      <alignment horizontal="center" vertical="center" wrapText="1"/>
      <protection hidden="1"/>
    </xf>
    <xf numFmtId="0" fontId="9" fillId="0" borderId="37" xfId="0" applyFont="1" applyFill="1" applyBorder="1" applyAlignment="1" applyProtection="1">
      <alignment horizontal="center" vertical="center"/>
      <protection hidden="1"/>
    </xf>
    <xf numFmtId="0" fontId="7" fillId="0" borderId="37" xfId="0" applyFont="1" applyFill="1" applyBorder="1" applyAlignment="1" applyProtection="1">
      <alignment horizontal="left" vertical="center"/>
      <protection hidden="1"/>
    </xf>
    <xf numFmtId="0" fontId="7" fillId="0" borderId="37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7" xfId="0" applyFont="1" applyFill="1" applyBorder="1" applyAlignment="1" applyProtection="1">
      <alignment horizontal="left" vertical="center" wrapText="1"/>
      <protection hidden="1"/>
    </xf>
    <xf numFmtId="9" fontId="6" fillId="0" borderId="0" xfId="2" applyNumberFormat="1" applyFont="1" applyFill="1" applyBorder="1" applyAlignment="1" applyProtection="1">
      <alignment horizontal="center" vertical="center"/>
      <protection hidden="1"/>
    </xf>
    <xf numFmtId="10" fontId="29" fillId="0" borderId="0" xfId="2" applyNumberFormat="1" applyFont="1" applyBorder="1" applyAlignment="1" applyProtection="1">
      <alignment horizontal="right"/>
      <protection hidden="1"/>
    </xf>
    <xf numFmtId="0" fontId="9" fillId="0" borderId="22" xfId="0" applyFont="1" applyFill="1" applyBorder="1" applyAlignment="1" applyProtection="1">
      <alignment horizontal="center" vertical="center"/>
      <protection hidden="1"/>
    </xf>
    <xf numFmtId="0" fontId="7" fillId="0" borderId="64" xfId="0" applyFont="1" applyFill="1" applyBorder="1" applyAlignment="1" applyProtection="1">
      <alignment horizontal="center" vertical="center"/>
      <protection hidden="1"/>
    </xf>
    <xf numFmtId="0" fontId="9" fillId="0" borderId="29" xfId="0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horizontal="left" vertical="center"/>
      <protection hidden="1"/>
    </xf>
    <xf numFmtId="0" fontId="2" fillId="0" borderId="65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2" fillId="0" borderId="66" xfId="0" applyFont="1" applyFill="1" applyBorder="1" applyAlignment="1" applyProtection="1">
      <alignment horizontal="center" vertical="center"/>
      <protection hidden="1"/>
    </xf>
    <xf numFmtId="0" fontId="2" fillId="0" borderId="71" xfId="0" applyFont="1" applyFill="1" applyBorder="1" applyAlignment="1" applyProtection="1">
      <alignment horizontal="center" vertical="center"/>
      <protection hidden="1"/>
    </xf>
    <xf numFmtId="0" fontId="2" fillId="0" borderId="76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7" fillId="0" borderId="21" xfId="0" applyFont="1" applyFill="1" applyBorder="1" applyAlignment="1" applyProtection="1">
      <alignment horizontal="center" vertical="center"/>
      <protection hidden="1"/>
    </xf>
    <xf numFmtId="0" fontId="7" fillId="0" borderId="35" xfId="0" applyFont="1" applyFill="1" applyBorder="1" applyAlignment="1" applyProtection="1">
      <alignment horizontal="center" vertical="center"/>
      <protection hidden="1"/>
    </xf>
    <xf numFmtId="0" fontId="2" fillId="0" borderId="83" xfId="0" applyFont="1" applyFill="1" applyBorder="1" applyAlignment="1" applyProtection="1">
      <alignment horizontal="center" vertical="center"/>
      <protection hidden="1"/>
    </xf>
    <xf numFmtId="0" fontId="9" fillId="0" borderId="82" xfId="0" applyFont="1" applyFill="1" applyBorder="1" applyAlignment="1" applyProtection="1">
      <alignment horizontal="center" vertical="center"/>
      <protection hidden="1"/>
    </xf>
    <xf numFmtId="0" fontId="9" fillId="0" borderId="83" xfId="0" applyFont="1" applyFill="1" applyBorder="1" applyAlignment="1" applyProtection="1">
      <alignment horizontal="center" vertical="center"/>
      <protection hidden="1"/>
    </xf>
    <xf numFmtId="0" fontId="9" fillId="0" borderId="84" xfId="0" applyFont="1" applyFill="1" applyBorder="1" applyAlignment="1" applyProtection="1">
      <alignment horizontal="center" vertical="center"/>
      <protection hidden="1"/>
    </xf>
    <xf numFmtId="0" fontId="9" fillId="0" borderId="28" xfId="0" applyFont="1" applyFill="1" applyBorder="1" applyAlignment="1" applyProtection="1">
      <alignment horizontal="center" vertical="center"/>
      <protection hidden="1"/>
    </xf>
    <xf numFmtId="0" fontId="2" fillId="0" borderId="32" xfId="0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 applyProtection="1">
      <alignment horizontal="left" vertical="center"/>
      <protection hidden="1"/>
    </xf>
    <xf numFmtId="0" fontId="2" fillId="0" borderId="28" xfId="0" applyFont="1" applyFill="1" applyBorder="1" applyAlignment="1" applyProtection="1">
      <alignment horizontal="left" vertical="center"/>
      <protection hidden="1"/>
    </xf>
    <xf numFmtId="0" fontId="2" fillId="0" borderId="15" xfId="0" applyFont="1" applyFill="1" applyBorder="1" applyAlignment="1" applyProtection="1">
      <alignment horizontal="center" vertical="center"/>
      <protection hidden="1"/>
    </xf>
    <xf numFmtId="0" fontId="7" fillId="0" borderId="29" xfId="0" applyFont="1" applyFill="1" applyBorder="1" applyAlignment="1" applyProtection="1">
      <alignment horizontal="left" vertical="center"/>
      <protection hidden="1"/>
    </xf>
    <xf numFmtId="0" fontId="7" fillId="0" borderId="15" xfId="0" applyFont="1" applyFill="1" applyBorder="1" applyAlignment="1" applyProtection="1">
      <alignment horizontal="center" vertical="center"/>
      <protection hidden="1"/>
    </xf>
    <xf numFmtId="0" fontId="2" fillId="0" borderId="36" xfId="0" applyFont="1" applyFill="1" applyBorder="1" applyAlignment="1" applyProtection="1">
      <alignment horizontal="center" vertical="center"/>
      <protection hidden="1"/>
    </xf>
    <xf numFmtId="0" fontId="2" fillId="0" borderId="68" xfId="0" applyFont="1" applyFill="1" applyBorder="1" applyAlignment="1" applyProtection="1">
      <alignment horizontal="center" vertical="center"/>
      <protection hidden="1"/>
    </xf>
    <xf numFmtId="0" fontId="2" fillId="2" borderId="8" xfId="0" applyFont="1" applyFill="1" applyBorder="1" applyAlignment="1" applyProtection="1">
      <alignment horizontal="center" vertical="center"/>
      <protection hidden="1"/>
    </xf>
    <xf numFmtId="0" fontId="7" fillId="0" borderId="15" xfId="0" applyFont="1" applyFill="1" applyBorder="1" applyAlignment="1" applyProtection="1">
      <alignment horizontal="left" vertical="center"/>
      <protection hidden="1"/>
    </xf>
    <xf numFmtId="0" fontId="2" fillId="0" borderId="28" xfId="0" applyFont="1" applyFill="1" applyBorder="1" applyAlignment="1" applyProtection="1">
      <alignment horizontal="center" vertical="center"/>
      <protection hidden="1"/>
    </xf>
    <xf numFmtId="0" fontId="7" fillId="0" borderId="13" xfId="0" applyFont="1" applyFill="1" applyBorder="1" applyAlignment="1" applyProtection="1">
      <alignment horizontal="left" vertical="center"/>
      <protection hidden="1"/>
    </xf>
    <xf numFmtId="0" fontId="7" fillId="0" borderId="13" xfId="0" applyFont="1" applyFill="1" applyBorder="1" applyAlignment="1" applyProtection="1">
      <alignment horizontal="center" vertical="center"/>
      <protection hidden="1"/>
    </xf>
    <xf numFmtId="0" fontId="7" fillId="0" borderId="20" xfId="0" applyFont="1" applyFill="1" applyBorder="1" applyAlignment="1" applyProtection="1">
      <alignment horizontal="left" vertical="center"/>
      <protection hidden="1"/>
    </xf>
    <xf numFmtId="0" fontId="9" fillId="0" borderId="15" xfId="0" applyFont="1" applyFill="1" applyBorder="1" applyAlignment="1" applyProtection="1">
      <alignment horizontal="center" vertical="center"/>
      <protection hidden="1"/>
    </xf>
    <xf numFmtId="0" fontId="9" fillId="0" borderId="20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13" xfId="0" applyFont="1" applyFill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7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2" fontId="2" fillId="2" borderId="6" xfId="0" applyNumberFormat="1" applyFont="1" applyFill="1" applyBorder="1" applyAlignment="1" applyProtection="1">
      <alignment horizontal="left" vertical="center"/>
      <protection hidden="1"/>
    </xf>
    <xf numFmtId="0" fontId="7" fillId="0" borderId="20" xfId="0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center" vertical="center"/>
      <protection hidden="1"/>
    </xf>
    <xf numFmtId="0" fontId="2" fillId="2" borderId="26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7" fillId="0" borderId="13" xfId="0" applyFont="1" applyFill="1" applyBorder="1" applyAlignment="1" applyProtection="1">
      <alignment horizontal="center" vertical="center" wrapText="1"/>
      <protection hidden="1"/>
    </xf>
    <xf numFmtId="0" fontId="9" fillId="0" borderId="13" xfId="0" applyFont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left" vertical="center"/>
      <protection hidden="1"/>
    </xf>
    <xf numFmtId="0" fontId="2" fillId="2" borderId="20" xfId="0" applyFont="1" applyFill="1" applyBorder="1" applyAlignment="1" applyProtection="1">
      <alignment horizontal="left" vertical="center"/>
      <protection hidden="1"/>
    </xf>
    <xf numFmtId="0" fontId="9" fillId="0" borderId="13" xfId="0" applyFont="1" applyFill="1" applyBorder="1" applyAlignment="1" applyProtection="1">
      <alignment horizontal="center" vertical="center"/>
      <protection hidden="1"/>
    </xf>
    <xf numFmtId="0" fontId="2" fillId="2" borderId="8" xfId="0" applyFont="1" applyFill="1" applyBorder="1" applyAlignment="1" applyProtection="1">
      <alignment horizontal="left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7" fillId="0" borderId="13" xfId="0" applyFont="1" applyFill="1" applyBorder="1" applyAlignment="1" applyProtection="1">
      <alignment horizontal="left" vertical="center" wrapText="1"/>
      <protection hidden="1"/>
    </xf>
    <xf numFmtId="0" fontId="2" fillId="2" borderId="37" xfId="0" applyFont="1" applyFill="1" applyBorder="1" applyAlignment="1" applyProtection="1">
      <alignment horizontal="center" vertical="center"/>
      <protection hidden="1"/>
    </xf>
    <xf numFmtId="0" fontId="2" fillId="0" borderId="37" xfId="0" applyFont="1" applyFill="1" applyBorder="1" applyAlignment="1" applyProtection="1">
      <alignment horizontal="center" vertical="center"/>
      <protection hidden="1"/>
    </xf>
    <xf numFmtId="0" fontId="7" fillId="0" borderId="38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37" xfId="0" applyFont="1" applyFill="1" applyBorder="1" applyAlignment="1" applyProtection="1">
      <alignment horizontal="left" vertical="center"/>
      <protection hidden="1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  <xf numFmtId="0" fontId="13" fillId="0" borderId="13" xfId="0" applyFont="1" applyBorder="1" applyAlignment="1" applyProtection="1">
      <alignment horizontal="center" vertical="center"/>
      <protection hidden="1"/>
    </xf>
    <xf numFmtId="0" fontId="19" fillId="0" borderId="13" xfId="0" applyFont="1" applyBorder="1" applyAlignment="1" applyProtection="1">
      <alignment horizontal="center" vertical="center"/>
      <protection hidden="1"/>
    </xf>
    <xf numFmtId="0" fontId="20" fillId="0" borderId="13" xfId="0" applyFont="1" applyBorder="1" applyAlignment="1" applyProtection="1">
      <alignment horizontal="center" vertical="center"/>
      <protection hidden="1"/>
    </xf>
    <xf numFmtId="0" fontId="20" fillId="0" borderId="13" xfId="0" applyFont="1" applyBorder="1" applyAlignment="1" applyProtection="1">
      <alignment vertical="center" wrapText="1"/>
      <protection hidden="1"/>
    </xf>
    <xf numFmtId="0" fontId="20" fillId="0" borderId="13" xfId="0" applyFont="1" applyBorder="1" applyAlignment="1" applyProtection="1">
      <alignment horizontal="center" vertical="center" wrapText="1"/>
      <protection hidden="1"/>
    </xf>
    <xf numFmtId="1" fontId="20" fillId="0" borderId="13" xfId="0" applyNumberFormat="1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22" fillId="7" borderId="13" xfId="3" applyNumberFormat="1" applyFont="1" applyFill="1" applyBorder="1" applyAlignment="1" applyProtection="1">
      <alignment horizontal="center" vertical="center" wrapText="1"/>
      <protection hidden="1"/>
    </xf>
    <xf numFmtId="0" fontId="23" fillId="0" borderId="13" xfId="0" applyFont="1" applyBorder="1" applyAlignment="1" applyProtection="1">
      <alignment horizontal="center" vertical="center"/>
      <protection hidden="1"/>
    </xf>
    <xf numFmtId="0" fontId="23" fillId="0" borderId="13" xfId="0" applyFont="1" applyBorder="1" applyAlignment="1" applyProtection="1">
      <alignment horizontal="center" vertical="center" wrapText="1"/>
      <protection hidden="1"/>
    </xf>
    <xf numFmtId="0" fontId="12" fillId="0" borderId="13" xfId="0" applyFont="1" applyBorder="1" applyAlignment="1" applyProtection="1">
      <alignment horizontal="center" vertical="center"/>
      <protection hidden="1"/>
    </xf>
    <xf numFmtId="0" fontId="12" fillId="0" borderId="13" xfId="0" applyFont="1" applyBorder="1" applyAlignment="1" applyProtection="1">
      <alignment vertical="center" wrapText="1"/>
      <protection hidden="1"/>
    </xf>
    <xf numFmtId="0" fontId="12" fillId="0" borderId="13" xfId="0" applyFont="1" applyBorder="1" applyAlignment="1" applyProtection="1">
      <alignment vertical="top" wrapText="1"/>
      <protection hidden="1"/>
    </xf>
    <xf numFmtId="0" fontId="10" fillId="0" borderId="13" xfId="0" applyFont="1" applyBorder="1" applyProtection="1">
      <protection hidden="1"/>
    </xf>
    <xf numFmtId="49" fontId="15" fillId="0" borderId="13" xfId="0" applyNumberFormat="1" applyFont="1" applyFill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left"/>
      <protection hidden="1"/>
    </xf>
    <xf numFmtId="0" fontId="3" fillId="0" borderId="32" xfId="0" applyFont="1" applyBorder="1" applyAlignment="1" applyProtection="1">
      <alignment horizontal="left" vertical="center" wrapText="1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9" fillId="0" borderId="13" xfId="0" applyFont="1" applyBorder="1" applyProtection="1">
      <protection hidden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0" fontId="17" fillId="0" borderId="13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2" fillId="2" borderId="0" xfId="0" applyFont="1" applyFill="1" applyProtection="1">
      <protection hidden="1"/>
    </xf>
    <xf numFmtId="0" fontId="9" fillId="0" borderId="34" xfId="0" applyFont="1" applyFill="1" applyBorder="1" applyAlignment="1" applyProtection="1">
      <alignment horizontal="left" vertical="center"/>
      <protection hidden="1"/>
    </xf>
    <xf numFmtId="0" fontId="3" fillId="0" borderId="34" xfId="0" applyFont="1" applyFill="1" applyBorder="1" applyAlignment="1" applyProtection="1">
      <alignment horizontal="center" vertical="center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center" vertical="center"/>
      <protection hidden="1"/>
    </xf>
    <xf numFmtId="0" fontId="7" fillId="0" borderId="13" xfId="0" applyFont="1" applyFill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center" vertical="center"/>
      <protection hidden="1"/>
    </xf>
    <xf numFmtId="0" fontId="9" fillId="0" borderId="13" xfId="0" applyFont="1" applyFill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center" vertical="center" wrapText="1"/>
      <protection hidden="1"/>
    </xf>
    <xf numFmtId="0" fontId="9" fillId="0" borderId="15" xfId="0" applyFont="1" applyBorder="1" applyAlignment="1" applyProtection="1">
      <alignment horizontal="left"/>
      <protection hidden="1"/>
    </xf>
    <xf numFmtId="0" fontId="9" fillId="0" borderId="15" xfId="0" applyFont="1" applyBorder="1" applyAlignment="1" applyProtection="1">
      <alignment horizontal="center" vertical="center"/>
      <protection hidden="1"/>
    </xf>
    <xf numFmtId="0" fontId="2" fillId="2" borderId="8" xfId="0" applyFont="1" applyFill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center" vertical="center"/>
      <protection hidden="1"/>
    </xf>
    <xf numFmtId="2" fontId="2" fillId="2" borderId="72" xfId="0" applyNumberFormat="1" applyFont="1" applyFill="1" applyBorder="1" applyAlignment="1" applyProtection="1">
      <alignment horizontal="center" vertical="center"/>
      <protection hidden="1"/>
    </xf>
    <xf numFmtId="2" fontId="2" fillId="2" borderId="69" xfId="0" applyNumberFormat="1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9" fillId="0" borderId="13" xfId="0" applyFont="1" applyFill="1" applyBorder="1" applyAlignment="1" applyProtection="1">
      <alignment horizontal="center" vertical="center"/>
      <protection hidden="1"/>
    </xf>
    <xf numFmtId="0" fontId="9" fillId="0" borderId="15" xfId="0" applyFont="1" applyFill="1" applyBorder="1" applyAlignment="1" applyProtection="1">
      <alignment horizontal="center" vertical="center"/>
      <protection hidden="1"/>
    </xf>
    <xf numFmtId="0" fontId="7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9" fillId="0" borderId="15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7" fillId="0" borderId="20" xfId="0" applyFont="1" applyFill="1" applyBorder="1" applyAlignment="1" applyProtection="1">
      <alignment horizontal="center" vertical="center"/>
      <protection hidden="1"/>
    </xf>
    <xf numFmtId="0" fontId="2" fillId="2" borderId="77" xfId="0" applyFont="1" applyFill="1" applyBorder="1" applyAlignment="1" applyProtection="1">
      <alignment horizontal="center" vertical="center" wrapText="1"/>
      <protection hidden="1"/>
    </xf>
    <xf numFmtId="0" fontId="0" fillId="0" borderId="74" xfId="0" applyBorder="1" applyAlignment="1" applyProtection="1">
      <alignment horizontal="center" vertical="center" wrapText="1"/>
      <protection hidden="1"/>
    </xf>
    <xf numFmtId="2" fontId="2" fillId="2" borderId="78" xfId="0" applyNumberFormat="1" applyFont="1" applyFill="1" applyBorder="1" applyAlignment="1" applyProtection="1">
      <alignment horizontal="center" vertical="center" wrapText="1"/>
      <protection hidden="1"/>
    </xf>
    <xf numFmtId="2" fontId="2" fillId="2" borderId="30" xfId="0" applyNumberFormat="1" applyFont="1" applyFill="1" applyBorder="1" applyAlignment="1" applyProtection="1">
      <alignment horizontal="center" vertical="center" wrapText="1"/>
      <protection hidden="1"/>
    </xf>
    <xf numFmtId="2" fontId="2" fillId="2" borderId="11" xfId="0" applyNumberFormat="1" applyFont="1" applyFill="1" applyBorder="1" applyAlignment="1" applyProtection="1">
      <alignment horizontal="center" vertical="center"/>
      <protection hidden="1"/>
    </xf>
    <xf numFmtId="2" fontId="2" fillId="2" borderId="8" xfId="0" applyNumberFormat="1" applyFont="1" applyFill="1" applyBorder="1" applyAlignment="1" applyProtection="1">
      <alignment horizontal="center" vertical="center"/>
      <protection hidden="1"/>
    </xf>
    <xf numFmtId="0" fontId="2" fillId="2" borderId="13" xfId="0" applyFont="1" applyFill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7" fillId="3" borderId="15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2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7" fillId="0" borderId="13" xfId="0" applyFont="1" applyFill="1" applyBorder="1" applyAlignment="1" applyProtection="1">
      <alignment horizontal="center" vertical="center"/>
      <protection hidden="1"/>
    </xf>
    <xf numFmtId="0" fontId="2" fillId="2" borderId="35" xfId="0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9" fillId="0" borderId="15" xfId="0" applyFont="1" applyBorder="1" applyAlignment="1" applyProtection="1">
      <alignment horizontal="center" vertical="center"/>
      <protection hidden="1"/>
    </xf>
    <xf numFmtId="0" fontId="9" fillId="0" borderId="22" xfId="0" applyFont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0" fillId="0" borderId="73" xfId="0" applyBorder="1" applyAlignment="1" applyProtection="1">
      <alignment horizontal="center" vertical="center" wrapText="1"/>
      <protection hidden="1"/>
    </xf>
    <xf numFmtId="0" fontId="2" fillId="2" borderId="31" xfId="0" applyFont="1" applyFill="1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2" fillId="2" borderId="31" xfId="0" applyFont="1" applyFill="1" applyBorder="1" applyAlignment="1" applyProtection="1">
      <alignment horizontal="center" vertical="center" wrapText="1"/>
      <protection hidden="1"/>
    </xf>
    <xf numFmtId="0" fontId="0" fillId="0" borderId="24" xfId="0" applyBorder="1" applyAlignment="1" applyProtection="1">
      <alignment horizontal="center" vertical="center" wrapText="1"/>
      <protection hidden="1"/>
    </xf>
    <xf numFmtId="0" fontId="2" fillId="2" borderId="8" xfId="0" applyFont="1" applyFill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2" fillId="2" borderId="72" xfId="0" applyFont="1" applyFill="1" applyBorder="1" applyAlignment="1" applyProtection="1">
      <alignment horizontal="center" vertical="center" wrapText="1"/>
      <protection hidden="1"/>
    </xf>
    <xf numFmtId="0" fontId="2" fillId="2" borderId="72" xfId="0" applyFont="1" applyFill="1" applyBorder="1" applyAlignment="1" applyProtection="1">
      <alignment horizontal="center" vertical="center"/>
      <protection hidden="1"/>
    </xf>
    <xf numFmtId="0" fontId="0" fillId="0" borderId="74" xfId="0" applyBorder="1" applyAlignment="1" applyProtection="1">
      <alignment horizontal="center" vertical="center"/>
      <protection hidden="1"/>
    </xf>
    <xf numFmtId="0" fontId="2" fillId="2" borderId="12" xfId="0" applyFont="1" applyFill="1" applyBorder="1" applyAlignment="1" applyProtection="1">
      <alignment horizontal="left" vertical="center"/>
      <protection hidden="1"/>
    </xf>
    <xf numFmtId="0" fontId="2" fillId="2" borderId="9" xfId="0" applyFont="1" applyFill="1" applyBorder="1" applyAlignment="1" applyProtection="1">
      <alignment horizontal="left"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0" fillId="0" borderId="5" xfId="0" applyBorder="1" applyAlignment="1" applyProtection="1">
      <alignment horizontal="left" vertical="center"/>
      <protection hidden="1"/>
    </xf>
    <xf numFmtId="0" fontId="2" fillId="2" borderId="16" xfId="0" applyFont="1" applyFill="1" applyBorder="1" applyAlignment="1" applyProtection="1">
      <alignment horizontal="center" vertical="center"/>
      <protection hidden="1"/>
    </xf>
    <xf numFmtId="0" fontId="2" fillId="2" borderId="33" xfId="0" applyFont="1" applyFill="1" applyBorder="1" applyAlignment="1" applyProtection="1">
      <alignment horizontal="center" vertical="center"/>
      <protection hidden="1"/>
    </xf>
    <xf numFmtId="0" fontId="2" fillId="2" borderId="8" xfId="0" applyFont="1" applyFill="1" applyBorder="1" applyAlignment="1" applyProtection="1">
      <alignment horizontal="left" vertical="center" wrapText="1"/>
      <protection hidden="1"/>
    </xf>
    <xf numFmtId="0" fontId="2" fillId="2" borderId="2" xfId="0" applyFont="1" applyFill="1" applyBorder="1" applyAlignment="1" applyProtection="1">
      <alignment horizontal="left" vertical="center" wrapText="1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2" fillId="0" borderId="15" xfId="0" applyFont="1" applyFill="1" applyBorder="1" applyAlignment="1" applyProtection="1">
      <alignment horizontal="center" vertical="center"/>
      <protection hidden="1"/>
    </xf>
    <xf numFmtId="0" fontId="7" fillId="0" borderId="15" xfId="0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7" fillId="0" borderId="15" xfId="0" applyNumberFormat="1" applyFont="1" applyFill="1" applyBorder="1" applyAlignment="1" applyProtection="1">
      <alignment horizontal="center" vertical="center"/>
      <protection hidden="1"/>
    </xf>
    <xf numFmtId="0" fontId="7" fillId="3" borderId="15" xfId="0" applyNumberFormat="1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left" vertical="center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left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6" fillId="2" borderId="13" xfId="0" applyFont="1" applyFill="1" applyBorder="1" applyAlignment="1" applyProtection="1">
      <alignment horizontal="center" vertical="center"/>
      <protection hidden="1"/>
    </xf>
    <xf numFmtId="0" fontId="24" fillId="0" borderId="13" xfId="0" applyFont="1" applyBorder="1" applyAlignment="1" applyProtection="1">
      <alignment horizontal="center"/>
      <protection hidden="1"/>
    </xf>
    <xf numFmtId="0" fontId="7" fillId="0" borderId="13" xfId="0" applyFont="1" applyFill="1" applyBorder="1" applyAlignment="1" applyProtection="1">
      <alignment horizontal="left" vertical="center"/>
      <protection hidden="1"/>
    </xf>
    <xf numFmtId="0" fontId="0" fillId="0" borderId="73" xfId="0" applyBorder="1" applyAlignment="1" applyProtection="1">
      <alignment horizontal="center" vertical="center"/>
      <protection hidden="1"/>
    </xf>
    <xf numFmtId="0" fontId="0" fillId="0" borderId="75" xfId="0" applyBorder="1" applyAlignment="1" applyProtection="1">
      <alignment horizontal="center" vertical="center"/>
      <protection hidden="1"/>
    </xf>
    <xf numFmtId="0" fontId="7" fillId="0" borderId="15" xfId="0" applyFont="1" applyFill="1" applyBorder="1" applyAlignment="1" applyProtection="1">
      <alignment horizontal="left" vertical="center"/>
      <protection hidden="1"/>
    </xf>
    <xf numFmtId="0" fontId="7" fillId="0" borderId="22" xfId="0" applyFont="1" applyFill="1" applyBorder="1" applyAlignment="1" applyProtection="1">
      <alignment horizontal="left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0" xfId="0" applyBorder="1" applyAlignment="1" applyProtection="1">
      <alignment vertical="center"/>
      <protection hidden="1"/>
    </xf>
    <xf numFmtId="0" fontId="9" fillId="0" borderId="13" xfId="0" applyFont="1" applyBorder="1" applyAlignment="1" applyProtection="1">
      <alignment horizontal="center" vertical="center"/>
      <protection hidden="1"/>
    </xf>
    <xf numFmtId="0" fontId="7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8" fillId="4" borderId="13" xfId="0" applyFont="1" applyFill="1" applyBorder="1" applyAlignment="1" applyProtection="1">
      <alignment horizontal="center" vertical="center"/>
      <protection hidden="1"/>
    </xf>
    <xf numFmtId="0" fontId="3" fillId="5" borderId="13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35" xfId="0" applyFont="1" applyFill="1" applyBorder="1" applyAlignment="1" applyProtection="1">
      <alignment horizontal="left" vertical="center"/>
      <protection hidden="1"/>
    </xf>
    <xf numFmtId="0" fontId="2" fillId="2" borderId="11" xfId="0" applyFont="1" applyFill="1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horizontal="left" vertical="center"/>
      <protection hidden="1"/>
    </xf>
    <xf numFmtId="0" fontId="0" fillId="0" borderId="2" xfId="0" applyBorder="1" applyAlignment="1" applyProtection="1">
      <alignment horizontal="left" vertical="center"/>
      <protection hidden="1"/>
    </xf>
    <xf numFmtId="0" fontId="7" fillId="0" borderId="15" xfId="0" applyFont="1" applyFill="1" applyBorder="1" applyAlignment="1" applyProtection="1">
      <alignment horizontal="left" vertical="center" wrapText="1"/>
      <protection hidden="1"/>
    </xf>
    <xf numFmtId="0" fontId="7" fillId="0" borderId="22" xfId="0" applyFont="1" applyFill="1" applyBorder="1" applyAlignment="1" applyProtection="1">
      <alignment horizontal="left" vertical="center" wrapText="1"/>
      <protection hidden="1"/>
    </xf>
    <xf numFmtId="0" fontId="0" fillId="0" borderId="22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2" xfId="0" applyBorder="1" applyAlignment="1" applyProtection="1">
      <alignment horizontal="left" vertical="center"/>
      <protection hidden="1"/>
    </xf>
    <xf numFmtId="0" fontId="0" fillId="0" borderId="20" xfId="0" applyBorder="1" applyAlignment="1" applyProtection="1">
      <alignment horizontal="left" vertical="center"/>
      <protection hidden="1"/>
    </xf>
    <xf numFmtId="0" fontId="9" fillId="0" borderId="15" xfId="0" applyFont="1" applyFill="1" applyBorder="1" applyAlignment="1" applyProtection="1">
      <alignment horizontal="left" vertical="center"/>
      <protection hidden="1"/>
    </xf>
    <xf numFmtId="0" fontId="9" fillId="0" borderId="20" xfId="0" applyFont="1" applyFill="1" applyBorder="1" applyAlignment="1" applyProtection="1">
      <alignment horizontal="left" vertical="center"/>
      <protection hidden="1"/>
    </xf>
    <xf numFmtId="0" fontId="9" fillId="0" borderId="13" xfId="0" applyFont="1" applyBorder="1" applyAlignment="1" applyProtection="1">
      <protection hidden="1"/>
    </xf>
    <xf numFmtId="0" fontId="16" fillId="2" borderId="79" xfId="0" applyFont="1" applyFill="1" applyBorder="1" applyAlignment="1" applyProtection="1">
      <alignment horizontal="center" vertical="center"/>
      <protection hidden="1"/>
    </xf>
    <xf numFmtId="0" fontId="24" fillId="0" borderId="79" xfId="0" applyFont="1" applyBorder="1" applyAlignment="1" applyProtection="1">
      <alignment horizontal="center"/>
      <protection hidden="1"/>
    </xf>
    <xf numFmtId="0" fontId="24" fillId="0" borderId="87" xfId="0" applyFont="1" applyBorder="1" applyAlignment="1" applyProtection="1">
      <alignment horizontal="center"/>
      <protection hidden="1"/>
    </xf>
    <xf numFmtId="0" fontId="9" fillId="0" borderId="15" xfId="0" applyFont="1" applyBorder="1" applyAlignment="1" applyProtection="1">
      <alignment horizontal="center" vertical="center" wrapText="1"/>
      <protection hidden="1"/>
    </xf>
    <xf numFmtId="0" fontId="9" fillId="0" borderId="20" xfId="0" applyFont="1" applyBorder="1" applyAlignment="1" applyProtection="1">
      <alignment horizontal="center" vertical="center" wrapText="1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2" fontId="2" fillId="2" borderId="35" xfId="0" applyNumberFormat="1" applyFont="1" applyFill="1" applyBorder="1" applyAlignment="1" applyProtection="1">
      <alignment horizontal="left" vertical="center" wrapText="1"/>
      <protection hidden="1"/>
    </xf>
    <xf numFmtId="2" fontId="2" fillId="2" borderId="36" xfId="0" applyNumberFormat="1" applyFont="1" applyFill="1" applyBorder="1" applyAlignment="1" applyProtection="1">
      <alignment horizontal="left" vertical="center" wrapText="1"/>
      <protection hidden="1"/>
    </xf>
    <xf numFmtId="2" fontId="2" fillId="2" borderId="9" xfId="0" applyNumberFormat="1" applyFont="1" applyFill="1" applyBorder="1" applyAlignment="1" applyProtection="1">
      <alignment horizontal="center" vertical="center"/>
      <protection hidden="1"/>
    </xf>
    <xf numFmtId="2" fontId="2" fillId="2" borderId="5" xfId="0" applyNumberFormat="1" applyFont="1" applyFill="1" applyBorder="1" applyAlignment="1" applyProtection="1">
      <alignment horizontal="center" vertical="center"/>
      <protection hidden="1"/>
    </xf>
    <xf numFmtId="2" fontId="2" fillId="2" borderId="13" xfId="0" applyNumberFormat="1" applyFont="1" applyFill="1" applyBorder="1" applyAlignment="1" applyProtection="1">
      <alignment horizontal="center" vertical="center"/>
      <protection hidden="1"/>
    </xf>
    <xf numFmtId="0" fontId="9" fillId="0" borderId="15" xfId="0" applyFont="1" applyBorder="1" applyAlignment="1" applyProtection="1">
      <alignment horizontal="left" vertical="center" wrapText="1"/>
      <protection hidden="1"/>
    </xf>
    <xf numFmtId="0" fontId="9" fillId="0" borderId="22" xfId="0" applyFont="1" applyBorder="1" applyAlignment="1" applyProtection="1">
      <alignment horizontal="left" vertical="center" wrapText="1"/>
      <protection hidden="1"/>
    </xf>
    <xf numFmtId="0" fontId="3" fillId="0" borderId="22" xfId="0" applyFont="1" applyBorder="1" applyAlignment="1" applyProtection="1">
      <alignment horizontal="left" vertical="center" wrapText="1"/>
      <protection hidden="1"/>
    </xf>
    <xf numFmtId="0" fontId="3" fillId="0" borderId="20" xfId="0" applyFont="1" applyBorder="1" applyAlignment="1" applyProtection="1">
      <alignment horizontal="left" vertical="center" wrapText="1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left" vertical="center" wrapText="1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2" fillId="2" borderId="9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left" vertical="center"/>
      <protection hidden="1"/>
    </xf>
    <xf numFmtId="0" fontId="2" fillId="2" borderId="20" xfId="0" applyFont="1" applyFill="1" applyBorder="1" applyAlignment="1" applyProtection="1">
      <alignment horizontal="left" vertical="center"/>
      <protection hidden="1"/>
    </xf>
    <xf numFmtId="0" fontId="2" fillId="2" borderId="27" xfId="0" applyFont="1" applyFill="1" applyBorder="1" applyAlignment="1" applyProtection="1">
      <alignment horizontal="left" vertical="center" wrapText="1"/>
      <protection hidden="1"/>
    </xf>
    <xf numFmtId="0" fontId="3" fillId="0" borderId="32" xfId="0" applyFont="1" applyBorder="1" applyAlignment="1" applyProtection="1">
      <alignment horizontal="left" vertical="center" wrapText="1"/>
      <protection hidden="1"/>
    </xf>
    <xf numFmtId="0" fontId="9" fillId="0" borderId="20" xfId="0" applyFont="1" applyBorder="1" applyAlignment="1" applyProtection="1">
      <alignment horizontal="left" vertical="center" wrapText="1"/>
      <protection hidden="1"/>
    </xf>
    <xf numFmtId="0" fontId="9" fillId="0" borderId="22" xfId="0" applyFont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left" vertical="center" wrapText="1"/>
      <protection hidden="1"/>
    </xf>
    <xf numFmtId="0" fontId="7" fillId="0" borderId="22" xfId="0" applyFont="1" applyFill="1" applyBorder="1" applyAlignment="1" applyProtection="1">
      <alignment horizontal="center" vertical="center" wrapText="1"/>
      <protection hidden="1"/>
    </xf>
    <xf numFmtId="0" fontId="7" fillId="0" borderId="22" xfId="0" applyFont="1" applyFill="1" applyBorder="1" applyAlignment="1" applyProtection="1">
      <alignment horizontal="center" vertical="center"/>
      <protection hidden="1"/>
    </xf>
    <xf numFmtId="0" fontId="2" fillId="2" borderId="22" xfId="0" applyFont="1" applyFill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2" fillId="2" borderId="13" xfId="0" applyFont="1" applyFill="1" applyBorder="1" applyAlignment="1" applyProtection="1">
      <alignment horizontal="left" vertical="center"/>
      <protection hidden="1"/>
    </xf>
    <xf numFmtId="0" fontId="3" fillId="0" borderId="13" xfId="0" applyFont="1" applyBorder="1" applyAlignment="1" applyProtection="1">
      <protection hidden="1"/>
    </xf>
    <xf numFmtId="0" fontId="0" fillId="0" borderId="22" xfId="0" applyBorder="1" applyAlignment="1" applyProtection="1">
      <alignment horizontal="left" vertical="center" wrapText="1"/>
      <protection hidden="1"/>
    </xf>
    <xf numFmtId="0" fontId="2" fillId="2" borderId="11" xfId="0" applyFont="1" applyFill="1" applyBorder="1" applyAlignment="1" applyProtection="1">
      <alignment horizontal="left" vertical="center" wrapText="1"/>
      <protection hidden="1"/>
    </xf>
    <xf numFmtId="0" fontId="2" fillId="0" borderId="15" xfId="0" applyFont="1" applyFill="1" applyBorder="1" applyAlignment="1" applyProtection="1">
      <alignment horizontal="left" vertical="center"/>
      <protection hidden="1"/>
    </xf>
    <xf numFmtId="0" fontId="3" fillId="0" borderId="9" xfId="0" applyFont="1" applyBorder="1" applyAlignment="1" applyProtection="1">
      <alignment horizontal="left" vertical="center"/>
      <protection hidden="1"/>
    </xf>
    <xf numFmtId="0" fontId="2" fillId="2" borderId="17" xfId="0" applyFont="1" applyFill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2" fontId="2" fillId="2" borderId="5" xfId="0" applyNumberFormat="1" applyFont="1" applyFill="1" applyBorder="1" applyAlignment="1" applyProtection="1">
      <alignment horizontal="left" vertical="center"/>
      <protection hidden="1"/>
    </xf>
    <xf numFmtId="2" fontId="2" fillId="2" borderId="6" xfId="0" applyNumberFormat="1" applyFont="1" applyFill="1" applyBorder="1" applyAlignment="1" applyProtection="1">
      <alignment horizontal="left" vertical="center"/>
      <protection hidden="1"/>
    </xf>
    <xf numFmtId="0" fontId="7" fillId="0" borderId="15" xfId="0" applyNumberFormat="1" applyFont="1" applyFill="1" applyBorder="1" applyAlignment="1" applyProtection="1">
      <alignment horizontal="left" vertical="center"/>
      <protection hidden="1"/>
    </xf>
    <xf numFmtId="0" fontId="0" fillId="0" borderId="20" xfId="0" applyNumberFormat="1" applyFill="1" applyBorder="1" applyAlignment="1" applyProtection="1">
      <alignment horizontal="left" vertical="center"/>
      <protection hidden="1"/>
    </xf>
    <xf numFmtId="0" fontId="2" fillId="2" borderId="35" xfId="0" applyFont="1" applyFill="1" applyBorder="1" applyAlignment="1" applyProtection="1">
      <alignment horizontal="left" vertical="center" wrapText="1"/>
      <protection hidden="1"/>
    </xf>
    <xf numFmtId="0" fontId="0" fillId="0" borderId="11" xfId="0" applyBorder="1" applyAlignment="1" applyProtection="1">
      <alignment horizontal="left" vertical="center" wrapText="1"/>
      <protection hidden="1"/>
    </xf>
    <xf numFmtId="0" fontId="0" fillId="0" borderId="36" xfId="0" applyBorder="1" applyAlignment="1" applyProtection="1">
      <alignment horizontal="left" vertical="center" wrapText="1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20" xfId="0" applyFill="1" applyBorder="1" applyAlignment="1" applyProtection="1">
      <alignment horizontal="center" vertical="center"/>
      <protection hidden="1"/>
    </xf>
    <xf numFmtId="0" fontId="0" fillId="0" borderId="20" xfId="0" applyFill="1" applyBorder="1" applyAlignment="1" applyProtection="1">
      <alignment horizontal="center" vertical="center" wrapText="1"/>
      <protection hidden="1"/>
    </xf>
    <xf numFmtId="0" fontId="31" fillId="0" borderId="54" xfId="1" applyNumberFormat="1" applyFont="1" applyFill="1" applyBorder="1" applyAlignment="1" applyProtection="1">
      <alignment horizontal="center" vertical="center"/>
      <protection hidden="1"/>
    </xf>
    <xf numFmtId="0" fontId="31" fillId="0" borderId="55" xfId="0" applyFont="1" applyBorder="1" applyAlignment="1" applyProtection="1">
      <alignment horizontal="center" vertical="center" wrapText="1"/>
      <protection hidden="1"/>
    </xf>
    <xf numFmtId="0" fontId="31" fillId="0" borderId="56" xfId="0" applyFont="1" applyBorder="1" applyAlignment="1" applyProtection="1">
      <alignment horizontal="center" vertical="center" wrapText="1"/>
      <protection hidden="1"/>
    </xf>
    <xf numFmtId="0" fontId="31" fillId="0" borderId="57" xfId="0" applyFont="1" applyBorder="1" applyAlignment="1" applyProtection="1">
      <alignment horizontal="center" vertical="center" wrapText="1"/>
      <protection hidden="1"/>
    </xf>
    <xf numFmtId="0" fontId="31" fillId="0" borderId="0" xfId="0" applyFont="1" applyBorder="1" applyAlignment="1" applyProtection="1">
      <alignment horizontal="center" vertical="center" wrapText="1"/>
      <protection hidden="1"/>
    </xf>
    <xf numFmtId="0" fontId="31" fillId="0" borderId="58" xfId="0" applyFont="1" applyBorder="1" applyAlignment="1" applyProtection="1">
      <alignment horizontal="center" vertical="center" wrapText="1"/>
      <protection hidden="1"/>
    </xf>
    <xf numFmtId="0" fontId="31" fillId="0" borderId="59" xfId="0" applyFont="1" applyBorder="1" applyAlignment="1" applyProtection="1">
      <alignment horizontal="center" vertical="center" wrapText="1"/>
      <protection hidden="1"/>
    </xf>
    <xf numFmtId="0" fontId="31" fillId="0" borderId="60" xfId="0" applyFont="1" applyBorder="1" applyAlignment="1" applyProtection="1">
      <alignment horizontal="center" vertical="center" wrapText="1"/>
      <protection hidden="1"/>
    </xf>
    <xf numFmtId="0" fontId="31" fillId="0" borderId="61" xfId="0" applyFont="1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left" vertical="center" wrapText="1"/>
      <protection hidden="1"/>
    </xf>
    <xf numFmtId="0" fontId="2" fillId="0" borderId="22" xfId="0" applyFont="1" applyFill="1" applyBorder="1" applyAlignment="1" applyProtection="1">
      <alignment horizontal="left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2" borderId="8" xfId="0" applyFont="1" applyFill="1" applyBorder="1" applyAlignment="1" applyProtection="1">
      <alignment horizontal="left" vertical="center"/>
      <protection hidden="1"/>
    </xf>
    <xf numFmtId="0" fontId="2" fillId="0" borderId="69" xfId="0" applyFont="1" applyFill="1" applyBorder="1" applyAlignment="1" applyProtection="1">
      <alignment horizontal="center" vertical="center"/>
      <protection hidden="1"/>
    </xf>
    <xf numFmtId="0" fontId="2" fillId="0" borderId="23" xfId="0" applyFont="1" applyFill="1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70" xfId="0" applyBorder="1" applyAlignment="1" applyProtection="1">
      <alignment horizontal="center" vertical="center"/>
      <protection hidden="1"/>
    </xf>
    <xf numFmtId="0" fontId="2" fillId="0" borderId="35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9" fontId="6" fillId="6" borderId="62" xfId="2" applyNumberFormat="1" applyFont="1" applyFill="1" applyBorder="1" applyAlignment="1" applyProtection="1">
      <alignment horizontal="center" vertical="center"/>
      <protection locked="0"/>
    </xf>
    <xf numFmtId="9" fontId="6" fillId="6" borderId="63" xfId="2" applyNumberFormat="1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hidden="1"/>
    </xf>
    <xf numFmtId="0" fontId="9" fillId="0" borderId="22" xfId="0" applyFont="1" applyFill="1" applyBorder="1" applyAlignment="1" applyProtection="1">
      <alignment horizontal="left" vertical="center"/>
      <protection hidden="1"/>
    </xf>
    <xf numFmtId="0" fontId="9" fillId="0" borderId="15" xfId="0" applyFont="1" applyFill="1" applyBorder="1" applyAlignment="1" applyProtection="1">
      <alignment horizontal="center" vertical="center"/>
      <protection hidden="1"/>
    </xf>
    <xf numFmtId="0" fontId="9" fillId="0" borderId="20" xfId="0" applyFont="1" applyFill="1" applyBorder="1" applyAlignment="1" applyProtection="1">
      <alignment horizontal="center" vertical="center"/>
      <protection hidden="1"/>
    </xf>
    <xf numFmtId="0" fontId="9" fillId="0" borderId="22" xfId="0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horizontal="center" vertical="center"/>
      <protection hidden="1"/>
    </xf>
    <xf numFmtId="0" fontId="0" fillId="0" borderId="22" xfId="0" applyFill="1" applyBorder="1" applyAlignment="1" applyProtection="1">
      <alignment horizontal="left" vertical="center"/>
      <protection hidden="1"/>
    </xf>
    <xf numFmtId="0" fontId="0" fillId="0" borderId="20" xfId="0" applyFill="1" applyBorder="1" applyAlignment="1" applyProtection="1">
      <alignment horizontal="left" vertical="center"/>
      <protection hidden="1"/>
    </xf>
    <xf numFmtId="0" fontId="2" fillId="0" borderId="12" xfId="0" applyFont="1" applyFill="1" applyBorder="1" applyAlignment="1" applyProtection="1">
      <alignment horizontal="left" vertical="center"/>
      <protection hidden="1"/>
    </xf>
    <xf numFmtId="0" fontId="2" fillId="0" borderId="9" xfId="0" applyFont="1" applyFill="1" applyBorder="1" applyAlignment="1" applyProtection="1">
      <alignment horizontal="left" vertical="center"/>
      <protection hidden="1"/>
    </xf>
    <xf numFmtId="0" fontId="3" fillId="0" borderId="9" xfId="0" applyFont="1" applyFill="1" applyBorder="1" applyAlignment="1" applyProtection="1">
      <alignment horizontal="left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 applyProtection="1">
      <alignment horizontal="center" vertical="center"/>
      <protection hidden="1"/>
    </xf>
    <xf numFmtId="0" fontId="2" fillId="0" borderId="16" xfId="0" applyFont="1" applyFill="1" applyBorder="1" applyAlignment="1" applyProtection="1">
      <alignment horizontal="center" vertical="center"/>
      <protection hidden="1"/>
    </xf>
    <xf numFmtId="0" fontId="3" fillId="0" borderId="23" xfId="0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center" vertical="center"/>
      <protection hidden="1"/>
    </xf>
    <xf numFmtId="2" fontId="2" fillId="2" borderId="8" xfId="0" applyNumberFormat="1" applyFont="1" applyFill="1" applyBorder="1" applyAlignment="1" applyProtection="1">
      <alignment horizontal="left" vertical="center"/>
      <protection hidden="1"/>
    </xf>
    <xf numFmtId="2" fontId="2" fillId="2" borderId="2" xfId="0" applyNumberFormat="1" applyFont="1" applyFill="1" applyBorder="1" applyAlignment="1" applyProtection="1">
      <alignment horizontal="left" vertical="center"/>
      <protection hidden="1"/>
    </xf>
    <xf numFmtId="0" fontId="24" fillId="5" borderId="13" xfId="0" applyFont="1" applyFill="1" applyBorder="1" applyAlignment="1" applyProtection="1">
      <alignment horizontal="center"/>
      <protection hidden="1"/>
    </xf>
    <xf numFmtId="0" fontId="2" fillId="0" borderId="36" xfId="0" applyFont="1" applyFill="1" applyBorder="1" applyAlignment="1" applyProtection="1">
      <alignment horizontal="center" vertical="center"/>
      <protection hidden="1"/>
    </xf>
    <xf numFmtId="0" fontId="8" fillId="4" borderId="20" xfId="0" applyFont="1" applyFill="1" applyBorder="1" applyAlignment="1" applyProtection="1">
      <alignment horizontal="center" vertical="center"/>
      <protection hidden="1"/>
    </xf>
    <xf numFmtId="0" fontId="24" fillId="0" borderId="20" xfId="0" applyFont="1" applyBorder="1" applyAlignment="1" applyProtection="1">
      <alignment horizontal="center"/>
      <protection hidden="1"/>
    </xf>
    <xf numFmtId="0" fontId="7" fillId="0" borderId="29" xfId="0" applyFont="1" applyFill="1" applyBorder="1" applyAlignment="1" applyProtection="1">
      <alignment horizontal="left" vertical="center"/>
      <protection hidden="1"/>
    </xf>
    <xf numFmtId="0" fontId="0" fillId="0" borderId="30" xfId="0" applyBorder="1" applyAlignment="1" applyProtection="1">
      <protection hidden="1"/>
    </xf>
    <xf numFmtId="0" fontId="0" fillId="0" borderId="25" xfId="0" applyBorder="1" applyAlignment="1" applyProtection="1"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0" fillId="0" borderId="89" xfId="0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2" fillId="0" borderId="81" xfId="0" applyFont="1" applyFill="1" applyBorder="1" applyAlignment="1" applyProtection="1">
      <alignment horizontal="center" vertical="center" wrapText="1"/>
      <protection hidden="1"/>
    </xf>
    <xf numFmtId="0" fontId="2" fillId="0" borderId="80" xfId="0" applyFont="1" applyFill="1" applyBorder="1" applyAlignment="1" applyProtection="1">
      <alignment horizontal="center" vertical="center" wrapText="1"/>
      <protection hidden="1"/>
    </xf>
    <xf numFmtId="0" fontId="2" fillId="0" borderId="77" xfId="0" applyFont="1" applyFill="1" applyBorder="1" applyAlignment="1" applyProtection="1">
      <alignment horizontal="left" vertical="center"/>
      <protection hidden="1"/>
    </xf>
    <xf numFmtId="0" fontId="2" fillId="0" borderId="73" xfId="0" applyFont="1" applyFill="1" applyBorder="1" applyAlignment="1" applyProtection="1">
      <alignment horizontal="left" vertical="center"/>
      <protection hidden="1"/>
    </xf>
    <xf numFmtId="0" fontId="3" fillId="0" borderId="75" xfId="0" applyFont="1" applyFill="1" applyBorder="1" applyAlignment="1" applyProtection="1">
      <alignment horizontal="left" vertical="center"/>
      <protection hidden="1"/>
    </xf>
    <xf numFmtId="0" fontId="2" fillId="2" borderId="77" xfId="0" applyFont="1" applyFill="1" applyBorder="1" applyAlignment="1" applyProtection="1">
      <alignment horizontal="center" vertical="center"/>
      <protection hidden="1"/>
    </xf>
    <xf numFmtId="0" fontId="2" fillId="0" borderId="31" xfId="0" applyFont="1" applyFill="1" applyBorder="1" applyAlignment="1" applyProtection="1">
      <alignment horizontal="center" vertical="center"/>
      <protection hidden="1"/>
    </xf>
    <xf numFmtId="0" fontId="2" fillId="0" borderId="31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/>
      <protection hidden="1"/>
    </xf>
    <xf numFmtId="0" fontId="3" fillId="0" borderId="34" xfId="0" applyFont="1" applyFill="1" applyBorder="1" applyAlignment="1" applyProtection="1">
      <alignment horizontal="center" vertical="center"/>
      <protection hidden="1"/>
    </xf>
    <xf numFmtId="0" fontId="2" fillId="2" borderId="27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32" xfId="0" applyBorder="1" applyAlignment="1" applyProtection="1">
      <alignment horizontal="left" vertical="center"/>
      <protection hidden="1"/>
    </xf>
    <xf numFmtId="0" fontId="2" fillId="2" borderId="24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left" vertical="center"/>
      <protection hidden="1"/>
    </xf>
    <xf numFmtId="0" fontId="9" fillId="0" borderId="13" xfId="0" applyFont="1" applyFill="1" applyBorder="1" applyAlignment="1" applyProtection="1">
      <alignment horizontal="center" vertical="center"/>
      <protection hidden="1"/>
    </xf>
    <xf numFmtId="0" fontId="33" fillId="0" borderId="22" xfId="0" applyFont="1" applyBorder="1" applyAlignment="1">
      <alignment horizontal="left" vertical="center"/>
    </xf>
    <xf numFmtId="0" fontId="33" fillId="0" borderId="20" xfId="0" applyFont="1" applyBorder="1" applyAlignment="1">
      <alignment horizontal="left" vertical="center"/>
    </xf>
    <xf numFmtId="0" fontId="24" fillId="0" borderId="15" xfId="0" applyFont="1" applyBorder="1" applyAlignment="1" applyProtection="1">
      <alignment horizontal="center"/>
      <protection hidden="1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0" xfId="0" applyFont="1" applyFill="1" applyBorder="1" applyAlignment="1" applyProtection="1">
      <alignment horizontal="left" vertical="center"/>
      <protection hidden="1"/>
    </xf>
    <xf numFmtId="0" fontId="8" fillId="4" borderId="19" xfId="0" applyFont="1" applyFill="1" applyBorder="1" applyAlignment="1" applyProtection="1">
      <alignment horizontal="center" vertical="center"/>
      <protection hidden="1"/>
    </xf>
    <xf numFmtId="0" fontId="8" fillId="4" borderId="88" xfId="0" applyFont="1" applyFill="1" applyBorder="1" applyAlignment="1" applyProtection="1">
      <alignment horizontal="center" vertical="center"/>
      <protection hidden="1"/>
    </xf>
    <xf numFmtId="0" fontId="8" fillId="4" borderId="21" xfId="0" applyFont="1" applyFill="1" applyBorder="1" applyAlignment="1" applyProtection="1">
      <alignment horizontal="center" vertical="center"/>
      <protection hidden="1"/>
    </xf>
    <xf numFmtId="0" fontId="2" fillId="0" borderId="67" xfId="0" applyFont="1" applyFill="1" applyBorder="1" applyAlignment="1" applyProtection="1">
      <alignment horizontal="center" vertical="center"/>
      <protection hidden="1"/>
    </xf>
    <xf numFmtId="0" fontId="2" fillId="0" borderId="68" xfId="0" applyFont="1" applyFill="1" applyBorder="1" applyAlignment="1" applyProtection="1">
      <alignment horizontal="center" vertical="center"/>
      <protection hidden="1"/>
    </xf>
    <xf numFmtId="0" fontId="2" fillId="0" borderId="22" xfId="0" applyFont="1" applyFill="1" applyBorder="1" applyAlignment="1" applyProtection="1">
      <alignment horizontal="center" vertical="center"/>
      <protection hidden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/>
      <protection hidden="1"/>
    </xf>
    <xf numFmtId="0" fontId="9" fillId="0" borderId="81" xfId="0" applyFont="1" applyFill="1" applyBorder="1" applyAlignment="1" applyProtection="1">
      <alignment horizontal="left" vertical="center"/>
      <protection hidden="1"/>
    </xf>
    <xf numFmtId="0" fontId="9" fillId="0" borderId="80" xfId="0" applyFont="1" applyFill="1" applyBorder="1" applyAlignment="1" applyProtection="1">
      <alignment horizontal="left" vertical="center"/>
      <protection hidden="1"/>
    </xf>
    <xf numFmtId="0" fontId="2" fillId="2" borderId="85" xfId="0" applyFont="1" applyFill="1" applyBorder="1" applyAlignment="1" applyProtection="1">
      <alignment horizontal="center" vertical="center"/>
      <protection hidden="1"/>
    </xf>
    <xf numFmtId="0" fontId="3" fillId="0" borderId="86" xfId="0" applyFont="1" applyBorder="1" applyAlignment="1" applyProtection="1">
      <alignment horizontal="center" vertical="center"/>
      <protection hidden="1"/>
    </xf>
    <xf numFmtId="0" fontId="3" fillId="0" borderId="81" xfId="0" applyFont="1" applyFill="1" applyBorder="1" applyAlignment="1" applyProtection="1">
      <alignment horizontal="center" vertical="center"/>
      <protection hidden="1"/>
    </xf>
    <xf numFmtId="0" fontId="3" fillId="0" borderId="80" xfId="0" applyFont="1" applyFill="1" applyBorder="1" applyAlignment="1" applyProtection="1">
      <alignment horizontal="center" vertical="center"/>
      <protection hidden="1"/>
    </xf>
    <xf numFmtId="0" fontId="2" fillId="2" borderId="29" xfId="0" applyFont="1" applyFill="1" applyBorder="1" applyAlignment="1" applyProtection="1">
      <alignment horizontal="left" vertical="center"/>
      <protection hidden="1"/>
    </xf>
    <xf numFmtId="0" fontId="3" fillId="0" borderId="30" xfId="0" applyFont="1" applyBorder="1" applyAlignment="1" applyProtection="1">
      <protection hidden="1"/>
    </xf>
    <xf numFmtId="0" fontId="0" fillId="0" borderId="2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15" xfId="0" applyFont="1" applyBorder="1" applyAlignment="1" applyProtection="1">
      <alignment horizontal="left"/>
      <protection hidden="1"/>
    </xf>
    <xf numFmtId="0" fontId="0" fillId="0" borderId="20" xfId="0" applyBorder="1" applyAlignment="1"/>
    <xf numFmtId="0" fontId="9" fillId="0" borderId="20" xfId="0" applyFont="1" applyBorder="1" applyAlignment="1" applyProtection="1">
      <alignment horizontal="left"/>
      <protection hidden="1"/>
    </xf>
    <xf numFmtId="0" fontId="18" fillId="0" borderId="13" xfId="0" applyFont="1" applyBorder="1" applyAlignment="1" applyProtection="1">
      <alignment horizontal="center" vertical="center" wrapText="1"/>
      <protection hidden="1"/>
    </xf>
    <xf numFmtId="0" fontId="18" fillId="0" borderId="13" xfId="0" applyFont="1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12" fillId="0" borderId="13" xfId="0" applyFont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left" vertical="center"/>
      <protection hidden="1"/>
    </xf>
    <xf numFmtId="0" fontId="0" fillId="0" borderId="43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 applyProtection="1">
      <alignment horizontal="center" vertical="center" wrapText="1"/>
      <protection hidden="1"/>
    </xf>
    <xf numFmtId="0" fontId="0" fillId="0" borderId="39" xfId="0" applyBorder="1" applyAlignment="1" applyProtection="1">
      <alignment horizontal="center" vertical="center" wrapText="1"/>
      <protection hidden="1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3" fillId="0" borderId="37" xfId="0" applyFont="1" applyBorder="1" applyAlignment="1" applyProtection="1">
      <alignment horizontal="center" vertical="center"/>
      <protection hidden="1"/>
    </xf>
    <xf numFmtId="0" fontId="27" fillId="8" borderId="37" xfId="0" applyFont="1" applyFill="1" applyBorder="1" applyAlignment="1" applyProtection="1">
      <alignment horizontal="center" vertical="center"/>
      <protection hidden="1"/>
    </xf>
    <xf numFmtId="0" fontId="28" fillId="9" borderId="37" xfId="0" applyFont="1" applyFill="1" applyBorder="1" applyAlignment="1" applyProtection="1">
      <alignment horizontal="center"/>
      <protection hidden="1"/>
    </xf>
    <xf numFmtId="0" fontId="2" fillId="2" borderId="37" xfId="0" applyFont="1" applyFill="1" applyBorder="1" applyAlignment="1" applyProtection="1">
      <alignment horizontal="center" vertical="center"/>
      <protection hidden="1"/>
    </xf>
    <xf numFmtId="0" fontId="2" fillId="2" borderId="37" xfId="0" applyFont="1" applyFill="1" applyBorder="1" applyAlignment="1" applyProtection="1">
      <alignment horizontal="left" vertical="center"/>
      <protection hidden="1"/>
    </xf>
    <xf numFmtId="0" fontId="7" fillId="0" borderId="38" xfId="0" applyFont="1" applyFill="1" applyBorder="1" applyAlignment="1" applyProtection="1">
      <alignment horizontal="left" vertical="center" wrapText="1"/>
      <protection hidden="1"/>
    </xf>
    <xf numFmtId="0" fontId="0" fillId="0" borderId="39" xfId="0" applyBorder="1" applyAlignment="1" applyProtection="1">
      <alignment horizontal="left" vertical="center" wrapText="1"/>
      <protection hidden="1"/>
    </xf>
    <xf numFmtId="0" fontId="7" fillId="0" borderId="43" xfId="0" applyFont="1" applyFill="1" applyBorder="1" applyAlignment="1" applyProtection="1">
      <alignment horizontal="left" vertical="center" wrapText="1"/>
      <protection hidden="1"/>
    </xf>
    <xf numFmtId="0" fontId="7" fillId="0" borderId="39" xfId="0" applyFont="1" applyFill="1" applyBorder="1" applyAlignment="1" applyProtection="1">
      <alignment horizontal="left" vertical="center" wrapText="1"/>
      <protection hidden="1"/>
    </xf>
    <xf numFmtId="0" fontId="7" fillId="0" borderId="38" xfId="0" applyFont="1" applyFill="1" applyBorder="1" applyAlignment="1" applyProtection="1">
      <alignment horizontal="left" vertical="center"/>
      <protection hidden="1"/>
    </xf>
    <xf numFmtId="0" fontId="7" fillId="0" borderId="43" xfId="0" applyFont="1" applyFill="1" applyBorder="1" applyAlignment="1" applyProtection="1">
      <alignment horizontal="left" vertical="center"/>
      <protection hidden="1"/>
    </xf>
    <xf numFmtId="0" fontId="7" fillId="0" borderId="38" xfId="0" applyFont="1" applyFill="1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center" vertical="center"/>
      <protection hidden="1"/>
    </xf>
    <xf numFmtId="0" fontId="7" fillId="0" borderId="38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25" fillId="0" borderId="37" xfId="0" applyFont="1" applyFill="1" applyBorder="1" applyAlignment="1" applyProtection="1">
      <alignment horizontal="center" vertical="center"/>
      <protection hidden="1"/>
    </xf>
    <xf numFmtId="0" fontId="26" fillId="0" borderId="37" xfId="0" applyFont="1" applyFill="1" applyBorder="1" applyAlignment="1" applyProtection="1">
      <alignment horizontal="center"/>
      <protection hidden="1"/>
    </xf>
    <xf numFmtId="0" fontId="7" fillId="0" borderId="38" xfId="0" applyNumberFormat="1" applyFont="1" applyFill="1" applyBorder="1" applyAlignment="1" applyProtection="1">
      <alignment horizontal="center" vertical="center"/>
      <protection hidden="1"/>
    </xf>
    <xf numFmtId="0" fontId="29" fillId="2" borderId="46" xfId="0" applyFont="1" applyFill="1" applyBorder="1" applyAlignment="1" applyProtection="1">
      <alignment horizontal="center" vertical="center" wrapText="1"/>
      <protection hidden="1"/>
    </xf>
    <xf numFmtId="0" fontId="29" fillId="2" borderId="47" xfId="0" applyFont="1" applyFill="1" applyBorder="1" applyAlignment="1" applyProtection="1">
      <alignment horizontal="center" vertical="center" wrapText="1"/>
      <protection hidden="1"/>
    </xf>
    <xf numFmtId="0" fontId="30" fillId="0" borderId="48" xfId="0" applyFont="1" applyBorder="1" applyAlignment="1" applyProtection="1">
      <alignment horizontal="center" vertical="center" wrapText="1"/>
      <protection hidden="1"/>
    </xf>
    <xf numFmtId="0" fontId="30" fillId="0" borderId="49" xfId="0" applyFont="1" applyBorder="1" applyAlignment="1" applyProtection="1">
      <alignment horizontal="center" vertical="center" wrapText="1"/>
      <protection hidden="1"/>
    </xf>
    <xf numFmtId="0" fontId="30" fillId="0" borderId="0" xfId="0" applyFont="1" applyBorder="1" applyAlignment="1" applyProtection="1">
      <alignment horizontal="center" vertical="center" wrapText="1"/>
      <protection hidden="1"/>
    </xf>
    <xf numFmtId="0" fontId="30" fillId="0" borderId="50" xfId="0" applyFont="1" applyBorder="1" applyAlignment="1" applyProtection="1">
      <alignment horizontal="center" vertical="center" wrapText="1"/>
      <protection hidden="1"/>
    </xf>
    <xf numFmtId="0" fontId="30" fillId="0" borderId="51" xfId="0" applyFont="1" applyBorder="1" applyAlignment="1" applyProtection="1">
      <alignment horizontal="center" vertical="center" wrapText="1"/>
      <protection hidden="1"/>
    </xf>
    <xf numFmtId="0" fontId="30" fillId="0" borderId="52" xfId="0" applyFont="1" applyBorder="1" applyAlignment="1" applyProtection="1">
      <alignment horizontal="center" vertical="center" wrapText="1"/>
      <protection hidden="1"/>
    </xf>
    <xf numFmtId="0" fontId="30" fillId="0" borderId="53" xfId="0" applyFont="1" applyBorder="1" applyAlignment="1" applyProtection="1">
      <alignment horizontal="center" vertical="center" wrapText="1"/>
      <protection hidden="1"/>
    </xf>
    <xf numFmtId="0" fontId="2" fillId="0" borderId="43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Border="1" applyAlignment="1" applyProtection="1">
      <alignment horizontal="center" vertical="center" wrapText="1"/>
      <protection hidden="1"/>
    </xf>
    <xf numFmtId="9" fontId="6" fillId="6" borderId="44" xfId="2" applyNumberFormat="1" applyFont="1" applyFill="1" applyBorder="1" applyAlignment="1" applyProtection="1">
      <alignment horizontal="center" vertical="center"/>
      <protection locked="0"/>
    </xf>
    <xf numFmtId="9" fontId="6" fillId="6" borderId="45" xfId="2" applyNumberFormat="1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 hidden="1"/>
    </xf>
    <xf numFmtId="0" fontId="2" fillId="2" borderId="38" xfId="0" applyFont="1" applyFill="1" applyBorder="1" applyAlignment="1" applyProtection="1">
      <alignment horizontal="left" vertical="center" wrapText="1"/>
      <protection hidden="1"/>
    </xf>
    <xf numFmtId="0" fontId="2" fillId="2" borderId="39" xfId="0" applyFont="1" applyFill="1" applyBorder="1" applyAlignment="1" applyProtection="1">
      <alignment horizontal="left" vertical="center" wrapText="1"/>
      <protection hidden="1"/>
    </xf>
    <xf numFmtId="0" fontId="7" fillId="0" borderId="40" xfId="0" applyFont="1" applyFill="1" applyBorder="1" applyAlignment="1" applyProtection="1">
      <alignment horizontal="left" vertical="center" wrapText="1"/>
      <protection hidden="1"/>
    </xf>
    <xf numFmtId="0" fontId="0" fillId="0" borderId="41" xfId="0" applyBorder="1" applyAlignment="1" applyProtection="1">
      <alignment wrapText="1"/>
      <protection hidden="1"/>
    </xf>
    <xf numFmtId="0" fontId="0" fillId="0" borderId="42" xfId="0" applyBorder="1" applyAlignment="1" applyProtection="1">
      <alignment wrapText="1"/>
      <protection hidden="1"/>
    </xf>
    <xf numFmtId="0" fontId="2" fillId="2" borderId="38" xfId="0" applyFont="1" applyFill="1" applyBorder="1" applyAlignment="1" applyProtection="1">
      <alignment horizontal="center" vertical="center" wrapText="1"/>
      <protection hidden="1"/>
    </xf>
    <xf numFmtId="0" fontId="2" fillId="2" borderId="43" xfId="0" applyFont="1" applyFill="1" applyBorder="1" applyAlignment="1" applyProtection="1">
      <alignment horizontal="center" vertical="center" wrapText="1"/>
      <protection hidden="1"/>
    </xf>
    <xf numFmtId="0" fontId="7" fillId="0" borderId="3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left" vertical="center"/>
      <protection hidden="1"/>
    </xf>
    <xf numFmtId="0" fontId="11" fillId="0" borderId="13" xfId="0" applyFont="1" applyBorder="1" applyAlignment="1" applyProtection="1">
      <alignment horizontal="center" vertical="center" wrapText="1"/>
      <protection hidden="1"/>
    </xf>
    <xf numFmtId="0" fontId="20" fillId="0" borderId="13" xfId="0" applyFont="1" applyBorder="1" applyAlignment="1" applyProtection="1">
      <alignment horizontal="center" vertical="center"/>
      <protection hidden="1"/>
    </xf>
    <xf numFmtId="0" fontId="20" fillId="0" borderId="13" xfId="0" applyFont="1" applyBorder="1" applyAlignment="1" applyProtection="1">
      <alignment horizontal="center" vertical="center" wrapText="1"/>
      <protection hidden="1"/>
    </xf>
  </cellXfs>
  <cellStyles count="4">
    <cellStyle name="Гиперссылка" xfId="1" builtinId="8"/>
    <cellStyle name="Обычный" xfId="0" builtinId="0"/>
    <cellStyle name="Обычный 2" xfId="2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2.png"/><Relationship Id="rId6" Type="http://schemas.openxmlformats.org/officeDocument/2006/relationships/image" Target="../media/image6.jpeg"/><Relationship Id="rId5" Type="http://schemas.openxmlformats.org/officeDocument/2006/relationships/image" Target="../media/image1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1638300</xdr:colOff>
      <xdr:row>0</xdr:row>
      <xdr:rowOff>0</xdr:rowOff>
    </xdr:from>
    <xdr:to>
      <xdr:col>4</xdr:col>
      <xdr:colOff>3718560</xdr:colOff>
      <xdr:row>3</xdr:row>
      <xdr:rowOff>182879</xdr:rowOff>
    </xdr:to>
    <xdr:pic>
      <xdr:nvPicPr>
        <xdr:cNvPr id="2" name="Picture 1" descr="https://avatars.mds.yandex.net/get-mail-signature/222735/d44140b712d0828ca9b06eade4523d97/ori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66020" y="0"/>
          <a:ext cx="4175760" cy="1394459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247651</xdr:colOff>
      <xdr:row>5</xdr:row>
      <xdr:rowOff>38102</xdr:rowOff>
    </xdr:from>
    <xdr:to>
      <xdr:col>2</xdr:col>
      <xdr:colOff>2543174</xdr:colOff>
      <xdr:row>5</xdr:row>
      <xdr:rowOff>1543051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71726" y="4676777"/>
          <a:ext cx="2295523" cy="150494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295276</xdr:colOff>
      <xdr:row>6</xdr:row>
      <xdr:rowOff>57150</xdr:rowOff>
    </xdr:from>
    <xdr:to>
      <xdr:col>2</xdr:col>
      <xdr:colOff>2524125</xdr:colOff>
      <xdr:row>6</xdr:row>
      <xdr:rowOff>1562450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19351" y="6296025"/>
          <a:ext cx="2228849" cy="15053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314327</xdr:colOff>
      <xdr:row>3</xdr:row>
      <xdr:rowOff>19052</xdr:rowOff>
    </xdr:from>
    <xdr:to>
      <xdr:col>2</xdr:col>
      <xdr:colOff>2438400</xdr:colOff>
      <xdr:row>3</xdr:row>
      <xdr:rowOff>1447617</xdr:rowOff>
    </xdr:to>
    <xdr:pic>
      <xdr:nvPicPr>
        <xdr:cNvPr id="4" name="Picture 8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38402" y="1409702"/>
          <a:ext cx="2124073" cy="142856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142877</xdr:colOff>
      <xdr:row>7</xdr:row>
      <xdr:rowOff>9526</xdr:rowOff>
    </xdr:from>
    <xdr:to>
      <xdr:col>2</xdr:col>
      <xdr:colOff>2514600</xdr:colOff>
      <xdr:row>7</xdr:row>
      <xdr:rowOff>1699406</xdr:rowOff>
    </xdr:to>
    <xdr:pic>
      <xdr:nvPicPr>
        <xdr:cNvPr id="5" name="Picture 10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266952" y="7886701"/>
          <a:ext cx="2371723" cy="168988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1781175</xdr:colOff>
      <xdr:row>1</xdr:row>
      <xdr:rowOff>362127</xdr:rowOff>
    </xdr:to>
    <xdr:pic>
      <xdr:nvPicPr>
        <xdr:cNvPr id="6" name="Picture 11" descr="https://avatars.mds.yandex.net/get-mail-signature/222735/d44140b712d0828ca9b06eade4523d97/ori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9525"/>
          <a:ext cx="2114550" cy="1171752"/>
        </a:xfrm>
        <a:prstGeom prst="rect">
          <a:avLst/>
        </a:prstGeom>
        <a:noFill/>
      </xdr:spPr>
    </xdr:pic>
    <xdr:clientData/>
  </xdr:twoCellAnchor>
  <xdr:twoCellAnchor editAs="absolute">
    <xdr:from>
      <xdr:col>2</xdr:col>
      <xdr:colOff>123825</xdr:colOff>
      <xdr:row>4</xdr:row>
      <xdr:rowOff>19050</xdr:rowOff>
    </xdr:from>
    <xdr:to>
      <xdr:col>2</xdr:col>
      <xdr:colOff>2628899</xdr:colOff>
      <xdr:row>4</xdr:row>
      <xdr:rowOff>1689361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247900" y="2895600"/>
          <a:ext cx="2505074" cy="1670311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0</xdr:rowOff>
    </xdr:from>
    <xdr:to>
      <xdr:col>0</xdr:col>
      <xdr:colOff>2952750</xdr:colOff>
      <xdr:row>5</xdr:row>
      <xdr:rowOff>291027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6" y="0"/>
          <a:ext cx="2943224" cy="125622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oofsystems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0"/>
  <sheetViews>
    <sheetView tabSelected="1" view="pageBreakPreview" topLeftCell="B1" zoomScaleSheetLayoutView="100" workbookViewId="0">
      <selection activeCell="E5" sqref="E5:F5"/>
    </sheetView>
  </sheetViews>
  <sheetFormatPr defaultColWidth="9.109375" defaultRowHeight="13.8" x14ac:dyDescent="0.25"/>
  <cols>
    <col min="1" max="1" width="93.33203125" style="131" customWidth="1"/>
    <col min="2" max="2" width="11.88671875" style="18" customWidth="1"/>
    <col min="3" max="3" width="17.6640625" style="18" customWidth="1"/>
    <col min="4" max="4" width="30.5546875" style="18" bestFit="1" customWidth="1"/>
    <col min="5" max="5" width="82.88671875" style="132" bestFit="1" customWidth="1"/>
    <col min="6" max="6" width="12" style="132" bestFit="1" customWidth="1"/>
    <col min="7" max="7" width="12" style="3" bestFit="1" customWidth="1"/>
    <col min="8" max="16384" width="9.109375" style="3"/>
  </cols>
  <sheetData>
    <row r="1" spans="1:7" x14ac:dyDescent="0.25">
      <c r="A1" s="3"/>
      <c r="B1" s="3"/>
      <c r="C1" s="287" t="s">
        <v>298</v>
      </c>
      <c r="D1" s="288"/>
      <c r="E1" s="288"/>
      <c r="F1" s="289"/>
    </row>
    <row r="2" spans="1:7" x14ac:dyDescent="0.25">
      <c r="A2" s="3"/>
      <c r="B2" s="3"/>
      <c r="C2" s="290"/>
      <c r="D2" s="291"/>
      <c r="E2" s="291"/>
      <c r="F2" s="292"/>
    </row>
    <row r="3" spans="1:7" ht="67.8" customHeight="1" x14ac:dyDescent="0.25">
      <c r="A3" s="3"/>
      <c r="B3" s="3"/>
      <c r="C3" s="290"/>
      <c r="D3" s="291"/>
      <c r="E3" s="291"/>
      <c r="F3" s="292"/>
    </row>
    <row r="4" spans="1:7" ht="14.4" thickBot="1" x14ac:dyDescent="0.3">
      <c r="A4" s="3"/>
      <c r="B4" s="3"/>
      <c r="C4" s="293"/>
      <c r="D4" s="294"/>
      <c r="E4" s="294"/>
      <c r="F4" s="295"/>
    </row>
    <row r="5" spans="1:7" ht="14.4" thickBot="1" x14ac:dyDescent="0.3">
      <c r="A5" s="4"/>
      <c r="B5" s="3"/>
      <c r="C5" s="3"/>
      <c r="D5" s="44" t="s">
        <v>0</v>
      </c>
      <c r="E5" s="307"/>
      <c r="F5" s="308"/>
    </row>
    <row r="6" spans="1:7" s="10" customFormat="1" ht="27" customHeight="1" x14ac:dyDescent="0.25">
      <c r="A6" s="8"/>
      <c r="D6" s="9"/>
      <c r="E6" s="43"/>
      <c r="F6" s="43"/>
    </row>
    <row r="7" spans="1:7" ht="27.6" x14ac:dyDescent="0.25">
      <c r="A7" s="81" t="s">
        <v>22</v>
      </c>
      <c r="B7" s="81" t="s">
        <v>23</v>
      </c>
      <c r="C7" s="81" t="s">
        <v>24</v>
      </c>
      <c r="D7" s="81" t="s">
        <v>25</v>
      </c>
      <c r="E7" s="6" t="s">
        <v>26</v>
      </c>
      <c r="F7" s="6" t="s">
        <v>124</v>
      </c>
      <c r="G7" s="94" t="s">
        <v>113</v>
      </c>
    </row>
    <row r="8" spans="1:7" ht="17.399999999999999" x14ac:dyDescent="0.25">
      <c r="A8" s="223" t="s">
        <v>355</v>
      </c>
      <c r="B8" s="327"/>
      <c r="C8" s="327"/>
      <c r="D8" s="327"/>
      <c r="E8" s="327"/>
      <c r="F8" s="327"/>
      <c r="G8" s="327"/>
    </row>
    <row r="9" spans="1:7" x14ac:dyDescent="0.25">
      <c r="A9" s="273" t="s">
        <v>374</v>
      </c>
      <c r="B9" s="300" t="s">
        <v>1</v>
      </c>
      <c r="C9" s="304" t="s">
        <v>271</v>
      </c>
      <c r="D9" s="22" t="s">
        <v>82</v>
      </c>
      <c r="E9" s="87" t="s">
        <v>371</v>
      </c>
      <c r="F9" s="77">
        <f>800*(1+E5)</f>
        <v>800</v>
      </c>
      <c r="G9" s="7" t="s">
        <v>71</v>
      </c>
    </row>
    <row r="10" spans="1:7" x14ac:dyDescent="0.25">
      <c r="A10" s="235"/>
      <c r="B10" s="301"/>
      <c r="C10" s="328"/>
      <c r="D10" s="52" t="s">
        <v>114</v>
      </c>
      <c r="E10" s="87" t="s">
        <v>372</v>
      </c>
      <c r="F10" s="98">
        <f>900*(1+E5)</f>
        <v>900</v>
      </c>
      <c r="G10" s="7" t="s">
        <v>71</v>
      </c>
    </row>
    <row r="11" spans="1:7" x14ac:dyDescent="0.25">
      <c r="A11" s="273" t="s">
        <v>353</v>
      </c>
      <c r="B11" s="301"/>
      <c r="C11" s="304" t="s">
        <v>2</v>
      </c>
      <c r="D11" s="22" t="s">
        <v>82</v>
      </c>
      <c r="E11" s="87" t="s">
        <v>365</v>
      </c>
      <c r="F11" s="98">
        <f>1300*(1+E5)</f>
        <v>1300</v>
      </c>
      <c r="G11" s="7" t="s">
        <v>71</v>
      </c>
    </row>
    <row r="12" spans="1:7" x14ac:dyDescent="0.25">
      <c r="A12" s="235"/>
      <c r="B12" s="301"/>
      <c r="C12" s="328"/>
      <c r="D12" s="52" t="s">
        <v>114</v>
      </c>
      <c r="E12" s="87" t="s">
        <v>366</v>
      </c>
      <c r="F12" s="76">
        <f>1550*(1+E5)</f>
        <v>1550</v>
      </c>
      <c r="G12" s="19" t="s">
        <v>71</v>
      </c>
    </row>
    <row r="13" spans="1:7" x14ac:dyDescent="0.25">
      <c r="A13" s="273" t="s">
        <v>354</v>
      </c>
      <c r="B13" s="302"/>
      <c r="C13" s="304" t="s">
        <v>2</v>
      </c>
      <c r="D13" s="22" t="s">
        <v>82</v>
      </c>
      <c r="E13" s="87" t="s">
        <v>367</v>
      </c>
      <c r="F13" s="98">
        <f>1350*(1+E5)</f>
        <v>1350</v>
      </c>
      <c r="G13" s="90" t="s">
        <v>71</v>
      </c>
    </row>
    <row r="14" spans="1:7" x14ac:dyDescent="0.25">
      <c r="A14" s="235"/>
      <c r="B14" s="303"/>
      <c r="C14" s="328"/>
      <c r="D14" s="23" t="s">
        <v>114</v>
      </c>
      <c r="E14" s="87" t="s">
        <v>368</v>
      </c>
      <c r="F14" s="98">
        <f>1700*(1+E5)</f>
        <v>1700</v>
      </c>
      <c r="G14" s="90" t="s">
        <v>71</v>
      </c>
    </row>
    <row r="15" spans="1:7" x14ac:dyDescent="0.25">
      <c r="A15" s="209" t="s">
        <v>356</v>
      </c>
      <c r="B15" s="210"/>
      <c r="C15" s="210"/>
      <c r="D15" s="210"/>
      <c r="E15" s="210"/>
      <c r="F15" s="210"/>
      <c r="G15" s="210"/>
    </row>
    <row r="16" spans="1:7" x14ac:dyDescent="0.25">
      <c r="A16" s="331" t="s">
        <v>278</v>
      </c>
      <c r="B16" s="300" t="s">
        <v>1</v>
      </c>
      <c r="C16" s="74" t="s">
        <v>271</v>
      </c>
      <c r="D16" s="155"/>
      <c r="E16" s="155" t="s">
        <v>464</v>
      </c>
      <c r="F16" s="74">
        <f>450*(1+E5)</f>
        <v>450</v>
      </c>
      <c r="G16" s="74" t="s">
        <v>71</v>
      </c>
    </row>
    <row r="17" spans="1:7" x14ac:dyDescent="0.25">
      <c r="A17" s="333"/>
      <c r="B17" s="301"/>
      <c r="C17" s="74" t="s">
        <v>2</v>
      </c>
      <c r="D17" s="156"/>
      <c r="E17" s="156"/>
      <c r="F17" s="74">
        <f>900*(1+E5)</f>
        <v>900</v>
      </c>
      <c r="G17" s="74" t="s">
        <v>71</v>
      </c>
    </row>
    <row r="18" spans="1:7" x14ac:dyDescent="0.25">
      <c r="A18" s="331" t="s">
        <v>468</v>
      </c>
      <c r="B18" s="301"/>
      <c r="C18" s="74"/>
      <c r="D18" s="22" t="s">
        <v>82</v>
      </c>
      <c r="E18" s="87" t="s">
        <v>373</v>
      </c>
      <c r="F18" s="74">
        <f>450*(1+E5)</f>
        <v>450</v>
      </c>
      <c r="G18" s="74" t="s">
        <v>71</v>
      </c>
    </row>
    <row r="19" spans="1:7" x14ac:dyDescent="0.25">
      <c r="A19" s="333"/>
      <c r="B19" s="301"/>
      <c r="C19" s="74"/>
      <c r="D19" s="51" t="s">
        <v>114</v>
      </c>
      <c r="E19" s="87" t="s">
        <v>295</v>
      </c>
      <c r="F19" s="74">
        <f>550*(1+E5)</f>
        <v>550</v>
      </c>
      <c r="G19" s="74" t="s">
        <v>71</v>
      </c>
    </row>
    <row r="20" spans="1:7" x14ac:dyDescent="0.25">
      <c r="A20" s="331" t="s">
        <v>357</v>
      </c>
      <c r="B20" s="301"/>
      <c r="C20" s="74"/>
      <c r="D20" s="22" t="s">
        <v>82</v>
      </c>
      <c r="E20" s="87" t="s">
        <v>369</v>
      </c>
      <c r="F20" s="74">
        <f>600*(1+E5)</f>
        <v>600</v>
      </c>
      <c r="G20" s="74" t="s">
        <v>71</v>
      </c>
    </row>
    <row r="21" spans="1:7" x14ac:dyDescent="0.25">
      <c r="A21" s="333"/>
      <c r="B21" s="301"/>
      <c r="C21" s="74"/>
      <c r="D21" s="51" t="s">
        <v>114</v>
      </c>
      <c r="E21" s="87" t="s">
        <v>292</v>
      </c>
      <c r="F21" s="74">
        <f>750*(1+E5)</f>
        <v>750</v>
      </c>
      <c r="G21" s="74" t="s">
        <v>71</v>
      </c>
    </row>
    <row r="22" spans="1:7" x14ac:dyDescent="0.25">
      <c r="A22" s="214" t="s">
        <v>358</v>
      </c>
      <c r="B22" s="302"/>
      <c r="C22" s="74"/>
      <c r="D22" s="22" t="s">
        <v>82</v>
      </c>
      <c r="E22" s="87" t="s">
        <v>370</v>
      </c>
      <c r="F22" s="74">
        <f>800*(1+E5)</f>
        <v>800</v>
      </c>
      <c r="G22" s="74" t="s">
        <v>71</v>
      </c>
    </row>
    <row r="23" spans="1:7" x14ac:dyDescent="0.25">
      <c r="A23" s="235"/>
      <c r="B23" s="303"/>
      <c r="C23" s="74"/>
      <c r="D23" s="51" t="s">
        <v>114</v>
      </c>
      <c r="E23" s="87" t="s">
        <v>294</v>
      </c>
      <c r="F23" s="74">
        <f>1000*(1+E5)</f>
        <v>1000</v>
      </c>
      <c r="G23" s="74" t="s">
        <v>71</v>
      </c>
    </row>
    <row r="24" spans="1:7" ht="17.399999999999999" x14ac:dyDescent="0.25">
      <c r="A24" s="223" t="s">
        <v>472</v>
      </c>
      <c r="B24" s="327"/>
      <c r="C24" s="327"/>
      <c r="D24" s="327"/>
      <c r="E24" s="327"/>
      <c r="F24" s="327"/>
      <c r="G24" s="327"/>
    </row>
    <row r="25" spans="1:7" x14ac:dyDescent="0.25">
      <c r="A25" s="273" t="s">
        <v>507</v>
      </c>
      <c r="B25" s="300" t="s">
        <v>1</v>
      </c>
      <c r="C25" s="304" t="s">
        <v>2</v>
      </c>
      <c r="D25" s="22" t="s">
        <v>5</v>
      </c>
      <c r="E25" s="87" t="s">
        <v>391</v>
      </c>
      <c r="F25" s="98">
        <f>2400*(1+E5)</f>
        <v>2400</v>
      </c>
      <c r="G25" s="7" t="s">
        <v>71</v>
      </c>
    </row>
    <row r="26" spans="1:7" x14ac:dyDescent="0.25">
      <c r="A26" s="235"/>
      <c r="B26" s="301"/>
      <c r="C26" s="305"/>
      <c r="D26" s="52" t="s">
        <v>400</v>
      </c>
      <c r="E26" s="87" t="s">
        <v>392</v>
      </c>
      <c r="F26" s="98">
        <f>2700*(1+E5)</f>
        <v>2700</v>
      </c>
      <c r="G26" s="7" t="s">
        <v>71</v>
      </c>
    </row>
    <row r="27" spans="1:7" x14ac:dyDescent="0.25">
      <c r="A27" s="273" t="s">
        <v>508</v>
      </c>
      <c r="B27" s="301"/>
      <c r="C27" s="171"/>
      <c r="D27" s="22" t="s">
        <v>5</v>
      </c>
      <c r="E27" s="87" t="s">
        <v>391</v>
      </c>
      <c r="F27" s="98">
        <f>2650*(1+E5)</f>
        <v>2650</v>
      </c>
      <c r="G27" s="7" t="s">
        <v>71</v>
      </c>
    </row>
    <row r="28" spans="1:7" x14ac:dyDescent="0.25">
      <c r="A28" s="235"/>
      <c r="B28" s="301"/>
      <c r="C28" s="171"/>
      <c r="D28" s="52" t="s">
        <v>400</v>
      </c>
      <c r="E28" s="87" t="s">
        <v>392</v>
      </c>
      <c r="F28" s="98">
        <f>2900*(1+E5)</f>
        <v>2900</v>
      </c>
      <c r="G28" s="19" t="s">
        <v>71</v>
      </c>
    </row>
    <row r="29" spans="1:7" x14ac:dyDescent="0.25">
      <c r="A29" s="273" t="s">
        <v>509</v>
      </c>
      <c r="B29" s="302"/>
      <c r="C29" s="171"/>
      <c r="D29" s="22" t="s">
        <v>5</v>
      </c>
      <c r="E29" s="87" t="s">
        <v>391</v>
      </c>
      <c r="F29" s="98">
        <f>2750*(1+E5)</f>
        <v>2750</v>
      </c>
      <c r="G29" s="90" t="s">
        <v>71</v>
      </c>
    </row>
    <row r="30" spans="1:7" x14ac:dyDescent="0.25">
      <c r="A30" s="235"/>
      <c r="B30" s="303"/>
      <c r="C30" s="306"/>
      <c r="D30" s="52" t="s">
        <v>400</v>
      </c>
      <c r="E30" s="87" t="s">
        <v>392</v>
      </c>
      <c r="F30" s="98">
        <f>3000*(1+E5)</f>
        <v>3000</v>
      </c>
      <c r="G30" s="90" t="s">
        <v>71</v>
      </c>
    </row>
    <row r="31" spans="1:7" x14ac:dyDescent="0.25">
      <c r="A31" s="273" t="s">
        <v>510</v>
      </c>
      <c r="B31" s="300" t="s">
        <v>1</v>
      </c>
      <c r="C31" s="304" t="s">
        <v>2</v>
      </c>
      <c r="D31" s="22" t="s">
        <v>82</v>
      </c>
      <c r="E31" s="87" t="s">
        <v>476</v>
      </c>
      <c r="F31" s="98">
        <f>3200*(1+E5)</f>
        <v>3200</v>
      </c>
      <c r="G31" s="7" t="s">
        <v>71</v>
      </c>
    </row>
    <row r="32" spans="1:7" x14ac:dyDescent="0.25">
      <c r="A32" s="235"/>
      <c r="B32" s="301"/>
      <c r="C32" s="305"/>
      <c r="D32" s="52" t="s">
        <v>114</v>
      </c>
      <c r="E32" s="87" t="s">
        <v>477</v>
      </c>
      <c r="F32" s="98">
        <f>3500*(1+E5)</f>
        <v>3500</v>
      </c>
      <c r="G32" s="7" t="s">
        <v>71</v>
      </c>
    </row>
    <row r="33" spans="1:7" x14ac:dyDescent="0.25">
      <c r="A33" s="273" t="s">
        <v>511</v>
      </c>
      <c r="B33" s="301"/>
      <c r="C33" s="171"/>
      <c r="D33" s="22" t="s">
        <v>82</v>
      </c>
      <c r="E33" s="87" t="s">
        <v>476</v>
      </c>
      <c r="F33" s="98">
        <f>3400*(1+E5)</f>
        <v>3400</v>
      </c>
      <c r="G33" s="7" t="s">
        <v>71</v>
      </c>
    </row>
    <row r="34" spans="1:7" x14ac:dyDescent="0.25">
      <c r="A34" s="235"/>
      <c r="B34" s="301"/>
      <c r="C34" s="171"/>
      <c r="D34" s="52" t="s">
        <v>114</v>
      </c>
      <c r="E34" s="87" t="s">
        <v>477</v>
      </c>
      <c r="F34" s="98">
        <f>3700*(1+E5)</f>
        <v>3700</v>
      </c>
      <c r="G34" s="19" t="s">
        <v>71</v>
      </c>
    </row>
    <row r="35" spans="1:7" x14ac:dyDescent="0.25">
      <c r="A35" s="273" t="s">
        <v>512</v>
      </c>
      <c r="B35" s="302"/>
      <c r="C35" s="171"/>
      <c r="D35" s="22" t="s">
        <v>82</v>
      </c>
      <c r="E35" s="87" t="s">
        <v>476</v>
      </c>
      <c r="F35" s="98">
        <f>3600*(1+E5)</f>
        <v>3600</v>
      </c>
      <c r="G35" s="90" t="s">
        <v>71</v>
      </c>
    </row>
    <row r="36" spans="1:7" x14ac:dyDescent="0.25">
      <c r="A36" s="235"/>
      <c r="B36" s="303"/>
      <c r="C36" s="306"/>
      <c r="D36" s="23" t="s">
        <v>114</v>
      </c>
      <c r="E36" s="87" t="s">
        <v>477</v>
      </c>
      <c r="F36" s="98">
        <f>3900*(1+E5)</f>
        <v>3900</v>
      </c>
      <c r="G36" s="90" t="s">
        <v>71</v>
      </c>
    </row>
    <row r="37" spans="1:7" x14ac:dyDescent="0.25">
      <c r="A37" s="209" t="s">
        <v>474</v>
      </c>
      <c r="B37" s="210"/>
      <c r="C37" s="210"/>
      <c r="D37" s="210"/>
      <c r="E37" s="210"/>
      <c r="F37" s="210"/>
      <c r="G37" s="210"/>
    </row>
    <row r="38" spans="1:7" x14ac:dyDescent="0.25">
      <c r="A38" s="66" t="s">
        <v>278</v>
      </c>
      <c r="B38" s="196" t="s">
        <v>1</v>
      </c>
      <c r="C38" s="55" t="s">
        <v>2</v>
      </c>
      <c r="D38" s="74"/>
      <c r="E38" s="67" t="s">
        <v>464</v>
      </c>
      <c r="F38" s="74">
        <f>900*(1+E5)</f>
        <v>900</v>
      </c>
      <c r="G38" s="86" t="s">
        <v>71</v>
      </c>
    </row>
    <row r="39" spans="1:7" x14ac:dyDescent="0.25">
      <c r="A39" s="331" t="s">
        <v>475</v>
      </c>
      <c r="B39" s="367"/>
      <c r="C39" s="334"/>
      <c r="D39" s="22" t="s">
        <v>5</v>
      </c>
      <c r="E39" s="67" t="s">
        <v>369</v>
      </c>
      <c r="F39" s="74">
        <f>600*(1+E5)</f>
        <v>600</v>
      </c>
      <c r="G39" s="86" t="s">
        <v>71</v>
      </c>
    </row>
    <row r="40" spans="1:7" x14ac:dyDescent="0.25">
      <c r="A40" s="332"/>
      <c r="B40" s="367"/>
      <c r="C40" s="335"/>
      <c r="D40" s="52" t="s">
        <v>400</v>
      </c>
      <c r="E40" s="67" t="s">
        <v>292</v>
      </c>
      <c r="F40" s="74">
        <f>850*(1+E5)</f>
        <v>850</v>
      </c>
      <c r="G40" s="86" t="s">
        <v>71</v>
      </c>
    </row>
    <row r="41" spans="1:7" x14ac:dyDescent="0.25">
      <c r="A41" s="332"/>
      <c r="B41" s="367"/>
      <c r="C41" s="335"/>
      <c r="D41" s="22" t="s">
        <v>82</v>
      </c>
      <c r="E41" s="67" t="s">
        <v>369</v>
      </c>
      <c r="F41" s="74">
        <f>700*(1+E5)</f>
        <v>700</v>
      </c>
      <c r="G41" s="74" t="s">
        <v>71</v>
      </c>
    </row>
    <row r="42" spans="1:7" x14ac:dyDescent="0.25">
      <c r="A42" s="333"/>
      <c r="B42" s="367"/>
      <c r="C42" s="336"/>
      <c r="D42" s="51" t="s">
        <v>114</v>
      </c>
      <c r="E42" s="67" t="s">
        <v>292</v>
      </c>
      <c r="F42" s="74">
        <f>900*(1+E5)</f>
        <v>900</v>
      </c>
      <c r="G42" s="74" t="s">
        <v>71</v>
      </c>
    </row>
    <row r="43" spans="1:7" x14ac:dyDescent="0.25">
      <c r="A43" s="63" t="s">
        <v>478</v>
      </c>
      <c r="B43" s="168"/>
      <c r="C43" s="155"/>
      <c r="D43" s="196"/>
      <c r="E43" s="196" t="s">
        <v>469</v>
      </c>
      <c r="F43" s="74">
        <f>2000*(1+E5)</f>
        <v>2000</v>
      </c>
      <c r="G43" s="74" t="s">
        <v>71</v>
      </c>
    </row>
    <row r="44" spans="1:7" x14ac:dyDescent="0.25">
      <c r="A44" s="63" t="s">
        <v>479</v>
      </c>
      <c r="B44" s="168"/>
      <c r="C44" s="168"/>
      <c r="D44" s="168"/>
      <c r="E44" s="168"/>
      <c r="F44" s="74">
        <f>2150*(1+E5)</f>
        <v>2150</v>
      </c>
      <c r="G44" s="74" t="s">
        <v>71</v>
      </c>
    </row>
    <row r="45" spans="1:7" x14ac:dyDescent="0.25">
      <c r="A45" s="63" t="s">
        <v>480</v>
      </c>
      <c r="B45" s="168"/>
      <c r="C45" s="156"/>
      <c r="D45" s="156"/>
      <c r="E45" s="156"/>
      <c r="F45" s="74">
        <f>2300*(1+E5)</f>
        <v>2300</v>
      </c>
      <c r="G45" s="74" t="s">
        <v>71</v>
      </c>
    </row>
    <row r="46" spans="1:7" x14ac:dyDescent="0.25">
      <c r="A46" s="63" t="s">
        <v>481</v>
      </c>
      <c r="B46" s="168"/>
      <c r="C46" s="55"/>
      <c r="D46" s="62"/>
      <c r="E46" s="87" t="s">
        <v>395</v>
      </c>
      <c r="F46" s="74">
        <f>1200*(1+E5)</f>
        <v>1200</v>
      </c>
      <c r="G46" s="74" t="s">
        <v>71</v>
      </c>
    </row>
    <row r="47" spans="1:7" x14ac:dyDescent="0.25">
      <c r="A47" s="64" t="s">
        <v>482</v>
      </c>
      <c r="B47" s="168"/>
      <c r="C47" s="74"/>
      <c r="D47" s="87"/>
      <c r="E47" s="87" t="s">
        <v>7</v>
      </c>
      <c r="F47" s="74">
        <f>170*(1+E5)</f>
        <v>170</v>
      </c>
      <c r="G47" s="74" t="s">
        <v>71</v>
      </c>
    </row>
    <row r="48" spans="1:7" ht="17.399999999999999" x14ac:dyDescent="0.25">
      <c r="A48" s="362" t="s">
        <v>84</v>
      </c>
      <c r="B48" s="363"/>
      <c r="C48" s="363"/>
      <c r="D48" s="363"/>
      <c r="E48" s="363"/>
      <c r="F48" s="363"/>
      <c r="G48" s="364"/>
    </row>
    <row r="49" spans="1:7" x14ac:dyDescent="0.25">
      <c r="A49" s="273" t="s">
        <v>359</v>
      </c>
      <c r="B49" s="300" t="s">
        <v>1</v>
      </c>
      <c r="C49" s="304" t="s">
        <v>18</v>
      </c>
      <c r="D49" s="22" t="s">
        <v>82</v>
      </c>
      <c r="E49" s="87" t="s">
        <v>371</v>
      </c>
      <c r="F49" s="77">
        <f>800*(1+E5)</f>
        <v>800</v>
      </c>
      <c r="G49" s="7">
        <f>950*(1+E5)</f>
        <v>950</v>
      </c>
    </row>
    <row r="50" spans="1:7" x14ac:dyDescent="0.25">
      <c r="A50" s="361"/>
      <c r="B50" s="301"/>
      <c r="C50" s="328"/>
      <c r="D50" s="51" t="s">
        <v>114</v>
      </c>
      <c r="E50" s="87" t="s">
        <v>372</v>
      </c>
      <c r="F50" s="76">
        <f>1000*(1+E5)</f>
        <v>1000</v>
      </c>
      <c r="G50" s="19">
        <f>1150*(1+E5)</f>
        <v>1150</v>
      </c>
    </row>
    <row r="51" spans="1:7" x14ac:dyDescent="0.25">
      <c r="A51" s="273" t="s">
        <v>360</v>
      </c>
      <c r="B51" s="301"/>
      <c r="C51" s="365" t="s">
        <v>2</v>
      </c>
      <c r="D51" s="22" t="s">
        <v>82</v>
      </c>
      <c r="E51" s="87" t="s">
        <v>365</v>
      </c>
      <c r="F51" s="98">
        <f>1500*(1+E5)</f>
        <v>1500</v>
      </c>
      <c r="G51" s="90">
        <f>1700*(1+E5)</f>
        <v>1700</v>
      </c>
    </row>
    <row r="52" spans="1:7" x14ac:dyDescent="0.25">
      <c r="A52" s="361"/>
      <c r="B52" s="301"/>
      <c r="C52" s="366"/>
      <c r="D52" s="51" t="s">
        <v>114</v>
      </c>
      <c r="E52" s="87" t="s">
        <v>366</v>
      </c>
      <c r="F52" s="98">
        <f>1650*(1+E5)</f>
        <v>1650</v>
      </c>
      <c r="G52" s="90">
        <f>1900*(1+E5)</f>
        <v>1900</v>
      </c>
    </row>
    <row r="53" spans="1:7" x14ac:dyDescent="0.25">
      <c r="A53" s="273" t="s">
        <v>361</v>
      </c>
      <c r="B53" s="302"/>
      <c r="C53" s="305" t="s">
        <v>2</v>
      </c>
      <c r="D53" s="22" t="s">
        <v>82</v>
      </c>
      <c r="E53" s="87" t="s">
        <v>367</v>
      </c>
      <c r="F53" s="77">
        <f>1700*(1+E5)</f>
        <v>1700</v>
      </c>
      <c r="G53" s="7">
        <f>1950*(1+E5)</f>
        <v>1950</v>
      </c>
    </row>
    <row r="54" spans="1:7" x14ac:dyDescent="0.25">
      <c r="A54" s="297"/>
      <c r="B54" s="303"/>
      <c r="C54" s="305"/>
      <c r="D54" s="51" t="s">
        <v>114</v>
      </c>
      <c r="E54" s="87" t="s">
        <v>368</v>
      </c>
      <c r="F54" s="76">
        <f>1900*(1+E5)</f>
        <v>1900</v>
      </c>
      <c r="G54" s="19">
        <f>2200*(1+E5)</f>
        <v>2200</v>
      </c>
    </row>
    <row r="55" spans="1:7" x14ac:dyDescent="0.25">
      <c r="A55" s="209" t="s">
        <v>87</v>
      </c>
      <c r="B55" s="210"/>
      <c r="C55" s="210"/>
      <c r="D55" s="210"/>
      <c r="E55" s="210"/>
      <c r="F55" s="210"/>
      <c r="G55" s="210"/>
    </row>
    <row r="56" spans="1:7" s="10" customFormat="1" x14ac:dyDescent="0.25">
      <c r="A56" s="279" t="s">
        <v>30</v>
      </c>
      <c r="B56" s="155" t="s">
        <v>1</v>
      </c>
      <c r="C56" s="74" t="s">
        <v>2</v>
      </c>
      <c r="D56" s="155"/>
      <c r="E56" s="151" t="s">
        <v>464</v>
      </c>
      <c r="F56" s="74">
        <f>1050*(1+E5)</f>
        <v>1050</v>
      </c>
      <c r="G56" s="74">
        <f>1250*(1+E5)</f>
        <v>1250</v>
      </c>
    </row>
    <row r="57" spans="1:7" s="10" customFormat="1" x14ac:dyDescent="0.25">
      <c r="A57" s="280"/>
      <c r="B57" s="266"/>
      <c r="C57" s="74" t="s">
        <v>18</v>
      </c>
      <c r="D57" s="285"/>
      <c r="E57" s="286"/>
      <c r="F57" s="74">
        <f>525*(1+E5)</f>
        <v>525</v>
      </c>
      <c r="G57" s="74">
        <f>625*(1+E5)</f>
        <v>625</v>
      </c>
    </row>
    <row r="58" spans="1:7" s="10" customFormat="1" x14ac:dyDescent="0.25">
      <c r="A58" s="214" t="s">
        <v>362</v>
      </c>
      <c r="B58" s="266"/>
      <c r="C58" s="74"/>
      <c r="D58" s="22" t="s">
        <v>82</v>
      </c>
      <c r="E58" s="87" t="s">
        <v>373</v>
      </c>
      <c r="F58" s="74">
        <f>600*(1+E5)</f>
        <v>600</v>
      </c>
      <c r="G58" s="74">
        <f>700*(1+E5)</f>
        <v>700</v>
      </c>
    </row>
    <row r="59" spans="1:7" s="10" customFormat="1" x14ac:dyDescent="0.25">
      <c r="A59" s="235"/>
      <c r="B59" s="266"/>
      <c r="C59" s="74"/>
      <c r="D59" s="51" t="s">
        <v>114</v>
      </c>
      <c r="E59" s="87" t="s">
        <v>295</v>
      </c>
      <c r="F59" s="74">
        <f>700*(1+E5)</f>
        <v>700</v>
      </c>
      <c r="G59" s="74">
        <f>800*(1+E5)</f>
        <v>800</v>
      </c>
    </row>
    <row r="60" spans="1:7" x14ac:dyDescent="0.25">
      <c r="A60" s="214" t="s">
        <v>363</v>
      </c>
      <c r="B60" s="266"/>
      <c r="C60" s="74"/>
      <c r="D60" s="74" t="s">
        <v>82</v>
      </c>
      <c r="E60" s="87" t="s">
        <v>369</v>
      </c>
      <c r="F60" s="74">
        <f>850*(1+E5)</f>
        <v>850</v>
      </c>
      <c r="G60" s="74">
        <f>1000*(1+E5)</f>
        <v>1000</v>
      </c>
    </row>
    <row r="61" spans="1:7" x14ac:dyDescent="0.25">
      <c r="A61" s="235"/>
      <c r="B61" s="266"/>
      <c r="C61" s="74"/>
      <c r="D61" s="74" t="s">
        <v>114</v>
      </c>
      <c r="E61" s="87" t="s">
        <v>292</v>
      </c>
      <c r="F61" s="74">
        <f>1000*(1+E5)</f>
        <v>1000</v>
      </c>
      <c r="G61" s="74">
        <f>1150*(1+E5)</f>
        <v>1150</v>
      </c>
    </row>
    <row r="62" spans="1:7" x14ac:dyDescent="0.25">
      <c r="A62" s="214" t="s">
        <v>364</v>
      </c>
      <c r="B62" s="266"/>
      <c r="C62" s="74"/>
      <c r="D62" s="22" t="s">
        <v>82</v>
      </c>
      <c r="E62" s="87" t="s">
        <v>370</v>
      </c>
      <c r="F62" s="74">
        <f>950*(1+E5)</f>
        <v>950</v>
      </c>
      <c r="G62" s="74">
        <f>1100*(1+E5)</f>
        <v>1100</v>
      </c>
    </row>
    <row r="63" spans="1:7" x14ac:dyDescent="0.25">
      <c r="A63" s="235"/>
      <c r="B63" s="266"/>
      <c r="C63" s="74"/>
      <c r="D63" s="51" t="s">
        <v>114</v>
      </c>
      <c r="E63" s="87" t="s">
        <v>294</v>
      </c>
      <c r="F63" s="74">
        <f>1100*(1+E5)</f>
        <v>1100</v>
      </c>
      <c r="G63" s="74">
        <f>1250*(1+E5)</f>
        <v>1250</v>
      </c>
    </row>
    <row r="64" spans="1:7" ht="17.399999999999999" x14ac:dyDescent="0.25">
      <c r="A64" s="223" t="s">
        <v>339</v>
      </c>
      <c r="B64" s="327"/>
      <c r="C64" s="327"/>
      <c r="D64" s="327"/>
      <c r="E64" s="327"/>
      <c r="F64" s="327"/>
      <c r="G64" s="327"/>
    </row>
    <row r="65" spans="1:7" s="10" customFormat="1" x14ac:dyDescent="0.25">
      <c r="A65" s="48" t="s">
        <v>340</v>
      </c>
      <c r="B65" s="345" t="s">
        <v>1</v>
      </c>
      <c r="C65" s="49"/>
      <c r="D65" s="84" t="s">
        <v>48</v>
      </c>
      <c r="E65" s="220" t="s">
        <v>7</v>
      </c>
      <c r="F65" s="77">
        <f>150*(1+E5)</f>
        <v>150</v>
      </c>
      <c r="G65" s="77">
        <f>165*(1+E5)</f>
        <v>165</v>
      </c>
    </row>
    <row r="66" spans="1:7" s="10" customFormat="1" x14ac:dyDescent="0.25">
      <c r="A66" s="48" t="s">
        <v>341</v>
      </c>
      <c r="B66" s="346"/>
      <c r="C66" s="68"/>
      <c r="D66" s="87" t="s">
        <v>400</v>
      </c>
      <c r="E66" s="222"/>
      <c r="F66" s="98">
        <f>280*(1+E5)</f>
        <v>280</v>
      </c>
      <c r="G66" s="98">
        <f>300*(1+E5)</f>
        <v>300</v>
      </c>
    </row>
    <row r="67" spans="1:7" ht="17.399999999999999" x14ac:dyDescent="0.25">
      <c r="A67" s="329" t="s">
        <v>85</v>
      </c>
      <c r="B67" s="327"/>
      <c r="C67" s="327"/>
      <c r="D67" s="327"/>
      <c r="E67" s="327"/>
      <c r="F67" s="327"/>
      <c r="G67" s="327"/>
    </row>
    <row r="68" spans="1:7" x14ac:dyDescent="0.25">
      <c r="A68" s="354" t="s">
        <v>125</v>
      </c>
      <c r="B68" s="351" t="s">
        <v>1</v>
      </c>
      <c r="C68" s="225" t="s">
        <v>18</v>
      </c>
      <c r="D68" s="22" t="s">
        <v>82</v>
      </c>
      <c r="E68" s="87" t="s">
        <v>375</v>
      </c>
      <c r="F68" s="77">
        <f>2400*(1+E5)</f>
        <v>2400</v>
      </c>
      <c r="G68" s="7">
        <f>2700*(1+E5)</f>
        <v>2700</v>
      </c>
    </row>
    <row r="69" spans="1:7" x14ac:dyDescent="0.25">
      <c r="A69" s="202"/>
      <c r="B69" s="351"/>
      <c r="C69" s="204"/>
      <c r="D69" s="51" t="s">
        <v>114</v>
      </c>
      <c r="E69" s="87" t="s">
        <v>376</v>
      </c>
      <c r="F69" s="98">
        <f>2650*(1+E5)</f>
        <v>2650</v>
      </c>
      <c r="G69" s="90">
        <f>3000*(1+E5)</f>
        <v>3000</v>
      </c>
    </row>
    <row r="70" spans="1:7" x14ac:dyDescent="0.25">
      <c r="A70" s="202" t="s">
        <v>125</v>
      </c>
      <c r="B70" s="352"/>
      <c r="C70" s="204" t="s">
        <v>20</v>
      </c>
      <c r="D70" s="22" t="s">
        <v>82</v>
      </c>
      <c r="E70" s="87" t="s">
        <v>377</v>
      </c>
      <c r="F70" s="98">
        <f>4700*(1+E5)</f>
        <v>4700</v>
      </c>
      <c r="G70" s="90">
        <f>5300*(1+E5)</f>
        <v>5300</v>
      </c>
    </row>
    <row r="71" spans="1:7" x14ac:dyDescent="0.25">
      <c r="A71" s="202"/>
      <c r="B71" s="352"/>
      <c r="C71" s="204"/>
      <c r="D71" s="51" t="s">
        <v>114</v>
      </c>
      <c r="E71" s="87" t="s">
        <v>378</v>
      </c>
      <c r="F71" s="98">
        <f>5050*(1+E5)</f>
        <v>5050</v>
      </c>
      <c r="G71" s="90">
        <f>5800*(1+E5)</f>
        <v>5800</v>
      </c>
    </row>
    <row r="72" spans="1:7" x14ac:dyDescent="0.25">
      <c r="A72" s="202" t="s">
        <v>268</v>
      </c>
      <c r="B72" s="352"/>
      <c r="C72" s="204" t="s">
        <v>83</v>
      </c>
      <c r="D72" s="22" t="s">
        <v>82</v>
      </c>
      <c r="E72" s="87" t="s">
        <v>375</v>
      </c>
      <c r="F72" s="98">
        <f>2200*(1+E5)</f>
        <v>2200</v>
      </c>
      <c r="G72" s="90">
        <f>2550*(1+E5)</f>
        <v>2550</v>
      </c>
    </row>
    <row r="73" spans="1:7" x14ac:dyDescent="0.25">
      <c r="A73" s="299"/>
      <c r="B73" s="352"/>
      <c r="C73" s="181"/>
      <c r="D73" s="51" t="s">
        <v>114</v>
      </c>
      <c r="E73" s="87" t="s">
        <v>376</v>
      </c>
      <c r="F73" s="98">
        <f>2450*(1+E5)</f>
        <v>2450</v>
      </c>
      <c r="G73" s="90">
        <f>2850*(1+E5)</f>
        <v>2850</v>
      </c>
    </row>
    <row r="74" spans="1:7" x14ac:dyDescent="0.25">
      <c r="A74" s="96" t="s">
        <v>312</v>
      </c>
      <c r="B74" s="352"/>
      <c r="C74" s="92" t="s">
        <v>2</v>
      </c>
      <c r="D74" s="195" t="s">
        <v>48</v>
      </c>
      <c r="E74" s="195" t="s">
        <v>379</v>
      </c>
      <c r="F74" s="47">
        <f>2500*(1+E5)</f>
        <v>2500</v>
      </c>
      <c r="G74" s="19">
        <f>2950*(1+E5)</f>
        <v>2950</v>
      </c>
    </row>
    <row r="75" spans="1:7" x14ac:dyDescent="0.25">
      <c r="A75" s="96" t="s">
        <v>314</v>
      </c>
      <c r="B75" s="352"/>
      <c r="C75" s="92" t="s">
        <v>2</v>
      </c>
      <c r="D75" s="168"/>
      <c r="E75" s="168"/>
      <c r="F75" s="47">
        <f>2600*(1+E5)</f>
        <v>2600</v>
      </c>
      <c r="G75" s="19">
        <f>3050*(1+E5)</f>
        <v>3050</v>
      </c>
    </row>
    <row r="76" spans="1:7" x14ac:dyDescent="0.25">
      <c r="A76" s="96" t="s">
        <v>313</v>
      </c>
      <c r="B76" s="352"/>
      <c r="C76" s="92" t="s">
        <v>2</v>
      </c>
      <c r="D76" s="168"/>
      <c r="E76" s="168"/>
      <c r="F76" s="47">
        <f>2700*(1+E5)</f>
        <v>2700</v>
      </c>
      <c r="G76" s="19">
        <f>3150*(1+E5)</f>
        <v>3150</v>
      </c>
    </row>
    <row r="77" spans="1:7" x14ac:dyDescent="0.25">
      <c r="A77" s="96" t="s">
        <v>21</v>
      </c>
      <c r="B77" s="353"/>
      <c r="C77" s="92" t="s">
        <v>2</v>
      </c>
      <c r="D77" s="156"/>
      <c r="E77" s="156"/>
      <c r="F77" s="47">
        <f>2800*(1+E5)</f>
        <v>2800</v>
      </c>
      <c r="G77" s="19">
        <f>3250*(1+E5)</f>
        <v>3250</v>
      </c>
    </row>
    <row r="78" spans="1:7" x14ac:dyDescent="0.25">
      <c r="A78" s="209" t="s">
        <v>88</v>
      </c>
      <c r="B78" s="210"/>
      <c r="C78" s="210"/>
      <c r="D78" s="210"/>
      <c r="E78" s="330"/>
      <c r="F78" s="210"/>
      <c r="G78" s="210"/>
    </row>
    <row r="79" spans="1:7" x14ac:dyDescent="0.25">
      <c r="A79" s="258" t="s">
        <v>34</v>
      </c>
      <c r="B79" s="351" t="s">
        <v>1</v>
      </c>
      <c r="C79" s="137" t="s">
        <v>83</v>
      </c>
      <c r="D79" s="358"/>
      <c r="E79" s="151" t="s">
        <v>380</v>
      </c>
      <c r="F79" s="137">
        <f>1500*(1+E5)</f>
        <v>1500</v>
      </c>
      <c r="G79" s="137">
        <f>2000*(1+E5)</f>
        <v>2000</v>
      </c>
    </row>
    <row r="80" spans="1:7" x14ac:dyDescent="0.25">
      <c r="A80" s="356"/>
      <c r="B80" s="351"/>
      <c r="C80" s="74" t="s">
        <v>18</v>
      </c>
      <c r="D80" s="359"/>
      <c r="E80" s="368"/>
      <c r="F80" s="74">
        <f>2000*(1+E5)</f>
        <v>2000</v>
      </c>
      <c r="G80" s="74">
        <f>2300*(1+E5)</f>
        <v>2300</v>
      </c>
    </row>
    <row r="81" spans="1:7" x14ac:dyDescent="0.25">
      <c r="A81" s="357"/>
      <c r="B81" s="352"/>
      <c r="C81" s="74" t="s">
        <v>20</v>
      </c>
      <c r="D81" s="360"/>
      <c r="E81" s="369"/>
      <c r="F81" s="74">
        <f>4000*(1+E5)</f>
        <v>4000</v>
      </c>
      <c r="G81" s="74">
        <f>4500*(1+E5)</f>
        <v>4500</v>
      </c>
    </row>
    <row r="82" spans="1:7" x14ac:dyDescent="0.25">
      <c r="A82" s="73" t="s">
        <v>35</v>
      </c>
      <c r="B82" s="352"/>
      <c r="C82" s="74" t="s">
        <v>18</v>
      </c>
      <c r="D82" s="22" t="s">
        <v>82</v>
      </c>
      <c r="E82" s="83" t="s">
        <v>381</v>
      </c>
      <c r="F82" s="74">
        <f>1550*(1+E5)</f>
        <v>1550</v>
      </c>
      <c r="G82" s="74">
        <f>1750*(1+E5)</f>
        <v>1750</v>
      </c>
    </row>
    <row r="83" spans="1:7" x14ac:dyDescent="0.25">
      <c r="A83" s="73" t="s">
        <v>35</v>
      </c>
      <c r="B83" s="352"/>
      <c r="C83" s="74" t="s">
        <v>18</v>
      </c>
      <c r="D83" s="51" t="s">
        <v>114</v>
      </c>
      <c r="E83" s="83" t="s">
        <v>382</v>
      </c>
      <c r="F83" s="74">
        <f>1850*(1+E5)</f>
        <v>1850</v>
      </c>
      <c r="G83" s="74">
        <f>2100*(1+E5)</f>
        <v>2100</v>
      </c>
    </row>
    <row r="84" spans="1:7" x14ac:dyDescent="0.25">
      <c r="A84" s="73" t="s">
        <v>35</v>
      </c>
      <c r="B84" s="352"/>
      <c r="C84" s="74" t="s">
        <v>20</v>
      </c>
      <c r="D84" s="22" t="s">
        <v>82</v>
      </c>
      <c r="E84" s="83" t="s">
        <v>383</v>
      </c>
      <c r="F84" s="74">
        <f>2300*(1+E5)</f>
        <v>2300</v>
      </c>
      <c r="G84" s="74">
        <f>2650*(1+E5)</f>
        <v>2650</v>
      </c>
    </row>
    <row r="85" spans="1:7" x14ac:dyDescent="0.25">
      <c r="A85" s="73" t="s">
        <v>35</v>
      </c>
      <c r="B85" s="352"/>
      <c r="C85" s="74" t="s">
        <v>20</v>
      </c>
      <c r="D85" s="51" t="s">
        <v>114</v>
      </c>
      <c r="E85" s="83" t="s">
        <v>384</v>
      </c>
      <c r="F85" s="74">
        <f>2700*(1+E5)</f>
        <v>2700</v>
      </c>
      <c r="G85" s="74">
        <f>3100*(1+E5)</f>
        <v>3100</v>
      </c>
    </row>
    <row r="86" spans="1:7" x14ac:dyDescent="0.25">
      <c r="A86" s="73" t="s">
        <v>304</v>
      </c>
      <c r="B86" s="352"/>
      <c r="C86" s="74"/>
      <c r="D86" s="74"/>
      <c r="E86" s="83" t="s">
        <v>269</v>
      </c>
      <c r="F86" s="74">
        <f>470*(1+E5)</f>
        <v>470</v>
      </c>
      <c r="G86" s="74">
        <f>550*(1+E5)</f>
        <v>550</v>
      </c>
    </row>
    <row r="87" spans="1:7" ht="17.399999999999999" x14ac:dyDescent="0.25">
      <c r="A87" s="223" t="s">
        <v>86</v>
      </c>
      <c r="B87" s="327"/>
      <c r="C87" s="327"/>
      <c r="D87" s="327"/>
      <c r="E87" s="327"/>
      <c r="F87" s="327"/>
      <c r="G87" s="327"/>
    </row>
    <row r="88" spans="1:7" x14ac:dyDescent="0.25">
      <c r="A88" s="281" t="s">
        <v>9</v>
      </c>
      <c r="B88" s="208" t="s">
        <v>1</v>
      </c>
      <c r="C88" s="208" t="s">
        <v>10</v>
      </c>
      <c r="D88" s="84" t="s">
        <v>48</v>
      </c>
      <c r="E88" s="95" t="s">
        <v>385</v>
      </c>
      <c r="F88" s="77">
        <f>2650*(1+E5)</f>
        <v>2650</v>
      </c>
      <c r="G88" s="7">
        <f>3000*(1+E5)</f>
        <v>3000</v>
      </c>
    </row>
    <row r="89" spans="1:7" x14ac:dyDescent="0.25">
      <c r="A89" s="296"/>
      <c r="B89" s="208"/>
      <c r="C89" s="208"/>
      <c r="D89" s="15" t="s">
        <v>400</v>
      </c>
      <c r="E89" s="95" t="s">
        <v>386</v>
      </c>
      <c r="F89" s="45">
        <f>3500*(1+E5)</f>
        <v>3500</v>
      </c>
      <c r="G89" s="26">
        <f>4000*(1+E5)</f>
        <v>4000</v>
      </c>
    </row>
    <row r="90" spans="1:7" x14ac:dyDescent="0.25">
      <c r="A90" s="99" t="s">
        <v>11</v>
      </c>
      <c r="B90" s="182"/>
      <c r="C90" s="182"/>
      <c r="D90" s="84" t="s">
        <v>48</v>
      </c>
      <c r="E90" s="70" t="s">
        <v>387</v>
      </c>
      <c r="F90" s="76">
        <f>5000*(1+E5)</f>
        <v>5000</v>
      </c>
      <c r="G90" s="19">
        <f>5700*(1+E5)</f>
        <v>5700</v>
      </c>
    </row>
    <row r="91" spans="1:7" x14ac:dyDescent="0.25">
      <c r="A91" s="209" t="s">
        <v>89</v>
      </c>
      <c r="B91" s="210"/>
      <c r="C91" s="210"/>
      <c r="D91" s="210"/>
      <c r="E91" s="210"/>
      <c r="F91" s="210"/>
      <c r="G91" s="210"/>
    </row>
    <row r="92" spans="1:7" x14ac:dyDescent="0.25">
      <c r="A92" s="73" t="s">
        <v>36</v>
      </c>
      <c r="B92" s="155" t="s">
        <v>1</v>
      </c>
      <c r="C92" s="74" t="s">
        <v>10</v>
      </c>
      <c r="D92" s="74"/>
      <c r="E92" s="11" t="s">
        <v>380</v>
      </c>
      <c r="F92" s="74">
        <f>2000*(1+E5)</f>
        <v>2000</v>
      </c>
      <c r="G92" s="74">
        <f>2250*(1+E5)</f>
        <v>2250</v>
      </c>
    </row>
    <row r="93" spans="1:7" x14ac:dyDescent="0.25">
      <c r="A93" s="73" t="s">
        <v>37</v>
      </c>
      <c r="B93" s="168"/>
      <c r="C93" s="74" t="s">
        <v>38</v>
      </c>
      <c r="D93" s="74"/>
      <c r="E93" s="201" t="s">
        <v>388</v>
      </c>
      <c r="F93" s="74">
        <f>1450*(1+E5)</f>
        <v>1450</v>
      </c>
      <c r="G93" s="74">
        <f>1650*(1+E5)</f>
        <v>1650</v>
      </c>
    </row>
    <row r="94" spans="1:7" x14ac:dyDescent="0.25">
      <c r="A94" s="73" t="s">
        <v>37</v>
      </c>
      <c r="B94" s="168"/>
      <c r="C94" s="93" t="s">
        <v>109</v>
      </c>
      <c r="D94" s="74"/>
      <c r="E94" s="156"/>
      <c r="F94" s="74">
        <f>1900*(1+E5)</f>
        <v>1900</v>
      </c>
      <c r="G94" s="74">
        <f>2150*(1+E5)</f>
        <v>2150</v>
      </c>
    </row>
    <row r="95" spans="1:7" s="10" customFormat="1" x14ac:dyDescent="0.25">
      <c r="A95" s="214" t="s">
        <v>39</v>
      </c>
      <c r="B95" s="168"/>
      <c r="C95" s="74"/>
      <c r="D95" s="74" t="s">
        <v>48</v>
      </c>
      <c r="E95" s="83" t="s">
        <v>389</v>
      </c>
      <c r="F95" s="74">
        <f>1100*(1+E5)</f>
        <v>1100</v>
      </c>
      <c r="G95" s="74">
        <f>1250*(1+E5)</f>
        <v>1250</v>
      </c>
    </row>
    <row r="96" spans="1:7" s="10" customFormat="1" x14ac:dyDescent="0.25">
      <c r="A96" s="316"/>
      <c r="B96" s="168"/>
      <c r="C96" s="74"/>
      <c r="D96" s="74" t="s">
        <v>400</v>
      </c>
      <c r="E96" s="83" t="s">
        <v>390</v>
      </c>
      <c r="F96" s="74">
        <f>2200*(1+E5)</f>
        <v>2200</v>
      </c>
      <c r="G96" s="74">
        <f>2500*(1+E5)</f>
        <v>2500</v>
      </c>
    </row>
    <row r="97" spans="1:7" x14ac:dyDescent="0.25">
      <c r="A97" s="101" t="s">
        <v>40</v>
      </c>
      <c r="B97" s="156"/>
      <c r="C97" s="74"/>
      <c r="D97" s="74" t="s">
        <v>48</v>
      </c>
      <c r="E97" s="11" t="s">
        <v>41</v>
      </c>
      <c r="F97" s="74">
        <f>1700*(1+E5)</f>
        <v>1700</v>
      </c>
      <c r="G97" s="74">
        <f>1950*(1+E5)</f>
        <v>1950</v>
      </c>
    </row>
    <row r="98" spans="1:7" ht="17.399999999999999" x14ac:dyDescent="0.25">
      <c r="A98" s="223" t="s">
        <v>471</v>
      </c>
      <c r="B98" s="224"/>
      <c r="C98" s="224"/>
      <c r="D98" s="224"/>
      <c r="E98" s="224"/>
      <c r="F98" s="224"/>
      <c r="G98" s="224"/>
    </row>
    <row r="99" spans="1:7" x14ac:dyDescent="0.25">
      <c r="A99" s="277" t="s">
        <v>13</v>
      </c>
      <c r="B99" s="173" t="s">
        <v>1</v>
      </c>
      <c r="C99" s="173" t="s">
        <v>2</v>
      </c>
      <c r="D99" s="22" t="s">
        <v>82</v>
      </c>
      <c r="E99" s="24" t="s">
        <v>391</v>
      </c>
      <c r="F99" s="25">
        <f>3200*(1+E5)</f>
        <v>3200</v>
      </c>
      <c r="G99" s="7">
        <f>3700*(1+E5)</f>
        <v>3700</v>
      </c>
    </row>
    <row r="100" spans="1:7" x14ac:dyDescent="0.25">
      <c r="A100" s="278"/>
      <c r="B100" s="167"/>
      <c r="C100" s="173"/>
      <c r="D100" s="51" t="s">
        <v>114</v>
      </c>
      <c r="E100" s="24" t="s">
        <v>392</v>
      </c>
      <c r="F100" s="98">
        <f>3700*(1+E5)</f>
        <v>3700</v>
      </c>
      <c r="G100" s="7">
        <f>4300*(1+E5)</f>
        <v>4300</v>
      </c>
    </row>
    <row r="101" spans="1:7" x14ac:dyDescent="0.25">
      <c r="A101" s="277" t="s">
        <v>126</v>
      </c>
      <c r="B101" s="167"/>
      <c r="C101" s="173"/>
      <c r="D101" s="22" t="s">
        <v>82</v>
      </c>
      <c r="E101" s="24" t="s">
        <v>391</v>
      </c>
      <c r="F101" s="20">
        <f>3300*(1+E5)</f>
        <v>3300</v>
      </c>
      <c r="G101" s="7">
        <f>3800*(1+E5)</f>
        <v>3800</v>
      </c>
    </row>
    <row r="102" spans="1:7" x14ac:dyDescent="0.25">
      <c r="A102" s="278"/>
      <c r="B102" s="167"/>
      <c r="C102" s="173"/>
      <c r="D102" s="51" t="s">
        <v>114</v>
      </c>
      <c r="E102" s="24" t="s">
        <v>392</v>
      </c>
      <c r="F102" s="98">
        <f>3800*(1+E5)</f>
        <v>3800</v>
      </c>
      <c r="G102" s="7">
        <f>4400*(1+E5)</f>
        <v>4400</v>
      </c>
    </row>
    <row r="103" spans="1:7" x14ac:dyDescent="0.25">
      <c r="A103" s="277" t="s">
        <v>171</v>
      </c>
      <c r="B103" s="167"/>
      <c r="C103" s="173"/>
      <c r="D103" s="22" t="s">
        <v>82</v>
      </c>
      <c r="E103" s="24" t="s">
        <v>391</v>
      </c>
      <c r="F103" s="25">
        <f>3450*(1+E5)</f>
        <v>3450</v>
      </c>
      <c r="G103" s="7">
        <f>4000*(1+E5)</f>
        <v>4000</v>
      </c>
    </row>
    <row r="104" spans="1:7" x14ac:dyDescent="0.25">
      <c r="A104" s="278"/>
      <c r="B104" s="167"/>
      <c r="C104" s="173"/>
      <c r="D104" s="51" t="s">
        <v>114</v>
      </c>
      <c r="E104" s="24" t="s">
        <v>392</v>
      </c>
      <c r="F104" s="98">
        <f>4000*(1+E5)</f>
        <v>4000</v>
      </c>
      <c r="G104" s="7">
        <f>4600*(1+E5)</f>
        <v>4600</v>
      </c>
    </row>
    <row r="105" spans="1:7" x14ac:dyDescent="0.25">
      <c r="A105" s="277" t="s">
        <v>172</v>
      </c>
      <c r="B105" s="167"/>
      <c r="C105" s="173"/>
      <c r="D105" s="22" t="s">
        <v>82</v>
      </c>
      <c r="E105" s="24" t="s">
        <v>391</v>
      </c>
      <c r="F105" s="20">
        <f>3700*(1+E5)</f>
        <v>3700</v>
      </c>
      <c r="G105" s="7">
        <f>4250*(1+E5)</f>
        <v>4250</v>
      </c>
    </row>
    <row r="106" spans="1:7" x14ac:dyDescent="0.25">
      <c r="A106" s="278"/>
      <c r="B106" s="167"/>
      <c r="C106" s="173"/>
      <c r="D106" s="51" t="s">
        <v>114</v>
      </c>
      <c r="E106" s="24" t="s">
        <v>392</v>
      </c>
      <c r="F106" s="98">
        <f>4200*(1+E5)</f>
        <v>4200</v>
      </c>
      <c r="G106" s="7">
        <f>4800*(1+E5)</f>
        <v>4800</v>
      </c>
    </row>
    <row r="107" spans="1:7" x14ac:dyDescent="0.25">
      <c r="A107" s="278" t="s">
        <v>14</v>
      </c>
      <c r="B107" s="167"/>
      <c r="C107" s="173"/>
      <c r="D107" s="22" t="s">
        <v>82</v>
      </c>
      <c r="E107" s="24" t="s">
        <v>391</v>
      </c>
      <c r="F107" s="98">
        <f>4100*(1+E5)</f>
        <v>4100</v>
      </c>
      <c r="G107" s="7">
        <f>4700*(1+E5)</f>
        <v>4700</v>
      </c>
    </row>
    <row r="108" spans="1:7" x14ac:dyDescent="0.25">
      <c r="A108" s="278"/>
      <c r="B108" s="167"/>
      <c r="C108" s="173"/>
      <c r="D108" s="51" t="s">
        <v>114</v>
      </c>
      <c r="E108" s="24" t="s">
        <v>392</v>
      </c>
      <c r="F108" s="98">
        <f>4500*(1+E5)</f>
        <v>4500</v>
      </c>
      <c r="G108" s="7">
        <f>5200*(1+E5)</f>
        <v>5200</v>
      </c>
    </row>
    <row r="109" spans="1:7" x14ac:dyDescent="0.25">
      <c r="A109" s="85" t="s">
        <v>59</v>
      </c>
      <c r="B109" s="167"/>
      <c r="C109" s="173"/>
      <c r="D109" s="147" t="s">
        <v>422</v>
      </c>
      <c r="E109" s="146" t="s">
        <v>379</v>
      </c>
      <c r="F109" s="98">
        <f>3600*(1+E5)</f>
        <v>3600</v>
      </c>
      <c r="G109" s="7">
        <f>4150*(1+E5)</f>
        <v>4150</v>
      </c>
    </row>
    <row r="110" spans="1:7" x14ac:dyDescent="0.25">
      <c r="A110" s="37" t="s">
        <v>393</v>
      </c>
      <c r="B110" s="167"/>
      <c r="C110" s="173"/>
      <c r="D110" s="91" t="s">
        <v>48</v>
      </c>
      <c r="E110" s="70" t="s">
        <v>7</v>
      </c>
      <c r="F110" s="76">
        <f>180*(1+E5)</f>
        <v>180</v>
      </c>
      <c r="G110" s="26">
        <f>200*(1+E5)</f>
        <v>200</v>
      </c>
    </row>
    <row r="111" spans="1:7" x14ac:dyDescent="0.25">
      <c r="A111" s="209" t="s">
        <v>90</v>
      </c>
      <c r="B111" s="210"/>
      <c r="C111" s="210"/>
      <c r="D111" s="210"/>
      <c r="E111" s="210"/>
      <c r="F111" s="210"/>
      <c r="G111" s="210"/>
    </row>
    <row r="112" spans="1:7" x14ac:dyDescent="0.25">
      <c r="A112" s="214" t="s">
        <v>78</v>
      </c>
      <c r="B112" s="172" t="s">
        <v>1</v>
      </c>
      <c r="C112" s="74"/>
      <c r="D112" s="22" t="s">
        <v>82</v>
      </c>
      <c r="E112" s="83" t="s">
        <v>369</v>
      </c>
      <c r="F112" s="74">
        <f>950*(1+E5)</f>
        <v>950</v>
      </c>
      <c r="G112" s="74">
        <f>1100*(1+E5)</f>
        <v>1100</v>
      </c>
    </row>
    <row r="113" spans="1:7" x14ac:dyDescent="0.25">
      <c r="A113" s="235"/>
      <c r="B113" s="173"/>
      <c r="C113" s="74"/>
      <c r="D113" s="51" t="s">
        <v>114</v>
      </c>
      <c r="E113" s="83" t="s">
        <v>292</v>
      </c>
      <c r="F113" s="74">
        <f>1350*(1+E5)</f>
        <v>1350</v>
      </c>
      <c r="G113" s="74">
        <f>1550*(1+E5)</f>
        <v>1550</v>
      </c>
    </row>
    <row r="114" spans="1:7" x14ac:dyDescent="0.25">
      <c r="A114" s="12" t="s">
        <v>50</v>
      </c>
      <c r="B114" s="173"/>
      <c r="C114" s="169"/>
      <c r="D114" s="169" t="s">
        <v>48</v>
      </c>
      <c r="E114" s="200" t="s">
        <v>469</v>
      </c>
      <c r="F114" s="74">
        <f>2100*(1+E5)</f>
        <v>2100</v>
      </c>
      <c r="G114" s="74">
        <f>2400*(1+E5)</f>
        <v>2400</v>
      </c>
    </row>
    <row r="115" spans="1:7" x14ac:dyDescent="0.25">
      <c r="A115" s="12" t="s">
        <v>127</v>
      </c>
      <c r="B115" s="173"/>
      <c r="C115" s="169"/>
      <c r="D115" s="169"/>
      <c r="E115" s="168"/>
      <c r="F115" s="74">
        <f>2200*(1+E5)</f>
        <v>2200</v>
      </c>
      <c r="G115" s="74">
        <f>2550*(1+E5)</f>
        <v>2550</v>
      </c>
    </row>
    <row r="116" spans="1:7" x14ac:dyDescent="0.25">
      <c r="A116" s="12" t="s">
        <v>173</v>
      </c>
      <c r="B116" s="173"/>
      <c r="C116" s="169"/>
      <c r="D116" s="169"/>
      <c r="E116" s="168"/>
      <c r="F116" s="74">
        <f>2350*(1+E5)</f>
        <v>2350</v>
      </c>
      <c r="G116" s="74">
        <f>2700*(1+E5)</f>
        <v>2700</v>
      </c>
    </row>
    <row r="117" spans="1:7" x14ac:dyDescent="0.25">
      <c r="A117" s="12" t="s">
        <v>174</v>
      </c>
      <c r="B117" s="173"/>
      <c r="C117" s="169"/>
      <c r="D117" s="169"/>
      <c r="E117" s="168"/>
      <c r="F117" s="74">
        <f>2600*(1+E5)</f>
        <v>2600</v>
      </c>
      <c r="G117" s="74">
        <f>3000*(1+E5)</f>
        <v>3000</v>
      </c>
    </row>
    <row r="118" spans="1:7" x14ac:dyDescent="0.25">
      <c r="A118" s="12" t="s">
        <v>51</v>
      </c>
      <c r="B118" s="173"/>
      <c r="C118" s="169"/>
      <c r="D118" s="169"/>
      <c r="E118" s="156"/>
      <c r="F118" s="74">
        <f>3050*(1+E5)</f>
        <v>3050</v>
      </c>
      <c r="G118" s="74">
        <f>3500*(1+E5)</f>
        <v>3500</v>
      </c>
    </row>
    <row r="119" spans="1:7" x14ac:dyDescent="0.25">
      <c r="A119" s="12" t="s">
        <v>303</v>
      </c>
      <c r="B119" s="173"/>
      <c r="C119" s="218"/>
      <c r="D119" s="218"/>
      <c r="E119" s="83" t="s">
        <v>395</v>
      </c>
      <c r="F119" s="74">
        <f>1250*(1+E5)</f>
        <v>1250</v>
      </c>
      <c r="G119" s="74">
        <f>1400*(1+E5)</f>
        <v>1400</v>
      </c>
    </row>
    <row r="120" spans="1:7" s="10" customFormat="1" x14ac:dyDescent="0.25">
      <c r="A120" s="214" t="s">
        <v>332</v>
      </c>
      <c r="B120" s="168"/>
      <c r="C120" s="98" t="s">
        <v>333</v>
      </c>
      <c r="D120" s="311" t="s">
        <v>422</v>
      </c>
      <c r="E120" s="200" t="s">
        <v>396</v>
      </c>
      <c r="F120" s="74">
        <f>1000*(1+E5)</f>
        <v>1000</v>
      </c>
      <c r="G120" s="74">
        <f>1100*(1+E5)</f>
        <v>1100</v>
      </c>
    </row>
    <row r="121" spans="1:7" s="10" customFormat="1" x14ac:dyDescent="0.25">
      <c r="A121" s="370"/>
      <c r="B121" s="168"/>
      <c r="C121" s="98" t="s">
        <v>109</v>
      </c>
      <c r="D121" s="312"/>
      <c r="E121" s="156"/>
      <c r="F121" s="74">
        <f>1500*(1+E5)</f>
        <v>1500</v>
      </c>
      <c r="G121" s="74">
        <f>1650*(1+E5)</f>
        <v>1650</v>
      </c>
    </row>
    <row r="122" spans="1:7" s="10" customFormat="1" x14ac:dyDescent="0.25">
      <c r="A122" s="75" t="s">
        <v>346</v>
      </c>
      <c r="B122" s="156"/>
      <c r="C122" s="98" t="s">
        <v>515</v>
      </c>
      <c r="D122" s="77" t="s">
        <v>48</v>
      </c>
      <c r="E122" s="83" t="s">
        <v>7</v>
      </c>
      <c r="F122" s="74">
        <f>1100*(1+E5)</f>
        <v>1100</v>
      </c>
      <c r="G122" s="74">
        <f>1200*(1+E5)</f>
        <v>1200</v>
      </c>
    </row>
    <row r="123" spans="1:7" ht="17.399999999999999" x14ac:dyDescent="0.25">
      <c r="A123" s="223" t="s">
        <v>91</v>
      </c>
      <c r="B123" s="224"/>
      <c r="C123" s="224"/>
      <c r="D123" s="224"/>
      <c r="E123" s="224"/>
      <c r="F123" s="224"/>
      <c r="G123" s="224"/>
    </row>
    <row r="124" spans="1:7" ht="27.6" x14ac:dyDescent="0.25">
      <c r="A124" s="92" t="s">
        <v>92</v>
      </c>
      <c r="B124" s="92" t="s">
        <v>23</v>
      </c>
      <c r="C124" s="16" t="s">
        <v>93</v>
      </c>
      <c r="D124" s="16" t="s">
        <v>25</v>
      </c>
      <c r="E124" s="87" t="s">
        <v>26</v>
      </c>
      <c r="F124" s="6" t="s">
        <v>124</v>
      </c>
      <c r="G124" s="94" t="s">
        <v>113</v>
      </c>
    </row>
    <row r="125" spans="1:7" x14ac:dyDescent="0.25">
      <c r="A125" s="142" t="s">
        <v>100</v>
      </c>
      <c r="B125" s="195" t="s">
        <v>1</v>
      </c>
      <c r="C125" s="123" t="s">
        <v>122</v>
      </c>
      <c r="D125" s="123" t="s">
        <v>96</v>
      </c>
      <c r="E125" s="196" t="s">
        <v>458</v>
      </c>
      <c r="F125" s="139">
        <f>430*(1+E5)</f>
        <v>430</v>
      </c>
      <c r="G125" s="140">
        <f>500*(1+E5)</f>
        <v>500</v>
      </c>
    </row>
    <row r="126" spans="1:7" x14ac:dyDescent="0.25">
      <c r="A126" s="383" t="s">
        <v>491</v>
      </c>
      <c r="B126" s="379"/>
      <c r="C126" s="16" t="s">
        <v>492</v>
      </c>
      <c r="D126" s="123" t="s">
        <v>98</v>
      </c>
      <c r="E126" s="381"/>
      <c r="F126" s="139">
        <f>280*(1+E5)</f>
        <v>280</v>
      </c>
      <c r="G126" s="140">
        <f>320*(1+E5)</f>
        <v>320</v>
      </c>
    </row>
    <row r="127" spans="1:7" x14ac:dyDescent="0.25">
      <c r="A127" s="384"/>
      <c r="B127" s="379"/>
      <c r="C127" s="16" t="s">
        <v>493</v>
      </c>
      <c r="D127" s="16" t="s">
        <v>494</v>
      </c>
      <c r="E127" s="381"/>
      <c r="F127" s="6">
        <f>520*(1+E5)</f>
        <v>520</v>
      </c>
      <c r="G127" s="141">
        <f>600*(1+E5)</f>
        <v>600</v>
      </c>
    </row>
    <row r="128" spans="1:7" x14ac:dyDescent="0.25">
      <c r="A128" s="383" t="s">
        <v>94</v>
      </c>
      <c r="B128" s="379"/>
      <c r="C128" s="123" t="s">
        <v>117</v>
      </c>
      <c r="D128" s="123" t="s">
        <v>98</v>
      </c>
      <c r="E128" s="381"/>
      <c r="F128" s="139">
        <f>280*(1+E5)</f>
        <v>280</v>
      </c>
      <c r="G128" s="140">
        <f>320*(1+E5)</f>
        <v>320</v>
      </c>
    </row>
    <row r="129" spans="1:7" x14ac:dyDescent="0.25">
      <c r="A129" s="385"/>
      <c r="B129" s="379"/>
      <c r="C129" s="123" t="s">
        <v>118</v>
      </c>
      <c r="D129" s="123" t="s">
        <v>494</v>
      </c>
      <c r="E129" s="381"/>
      <c r="F129" s="6">
        <f>520*(1+E5)</f>
        <v>520</v>
      </c>
      <c r="G129" s="141">
        <f>600*(1+E5)</f>
        <v>600</v>
      </c>
    </row>
    <row r="130" spans="1:7" x14ac:dyDescent="0.25">
      <c r="A130" s="383" t="s">
        <v>495</v>
      </c>
      <c r="B130" s="379"/>
      <c r="C130" s="123" t="s">
        <v>496</v>
      </c>
      <c r="D130" s="123" t="s">
        <v>101</v>
      </c>
      <c r="E130" s="381"/>
      <c r="F130" s="139">
        <f>330*(1+E5)</f>
        <v>330</v>
      </c>
      <c r="G130" s="140">
        <f>390*(1+E5)</f>
        <v>390</v>
      </c>
    </row>
    <row r="131" spans="1:7" x14ac:dyDescent="0.25">
      <c r="A131" s="385"/>
      <c r="B131" s="379"/>
      <c r="C131" s="123" t="s">
        <v>497</v>
      </c>
      <c r="D131" s="123" t="s">
        <v>494</v>
      </c>
      <c r="E131" s="381"/>
      <c r="F131" s="139">
        <f>520*(1+E5)</f>
        <v>520</v>
      </c>
      <c r="G131" s="140">
        <f>600*(1+E5)</f>
        <v>600</v>
      </c>
    </row>
    <row r="132" spans="1:7" x14ac:dyDescent="0.25">
      <c r="A132" s="383" t="s">
        <v>498</v>
      </c>
      <c r="B132" s="379"/>
      <c r="C132" s="123" t="s">
        <v>499</v>
      </c>
      <c r="D132" s="123" t="s">
        <v>96</v>
      </c>
      <c r="E132" s="381"/>
      <c r="F132" s="139">
        <f>430*(1+E5)</f>
        <v>430</v>
      </c>
      <c r="G132" s="140">
        <f>500*(1+E5)</f>
        <v>500</v>
      </c>
    </row>
    <row r="133" spans="1:7" x14ac:dyDescent="0.25">
      <c r="A133" s="385"/>
      <c r="B133" s="379"/>
      <c r="C133" s="123" t="s">
        <v>500</v>
      </c>
      <c r="D133" s="123" t="s">
        <v>98</v>
      </c>
      <c r="E133" s="381"/>
      <c r="F133" s="139">
        <f>280*(1+E5)</f>
        <v>280</v>
      </c>
      <c r="G133" s="140">
        <f>320*(1+E5)</f>
        <v>320</v>
      </c>
    </row>
    <row r="134" spans="1:7" x14ac:dyDescent="0.25">
      <c r="A134" s="383" t="s">
        <v>97</v>
      </c>
      <c r="B134" s="379"/>
      <c r="C134" s="123" t="s">
        <v>119</v>
      </c>
      <c r="D134" s="123" t="s">
        <v>494</v>
      </c>
      <c r="E134" s="381"/>
      <c r="F134" s="139">
        <f>520*(1+E5)</f>
        <v>520</v>
      </c>
      <c r="G134" s="140">
        <f>600*(1+E5)</f>
        <v>600</v>
      </c>
    </row>
    <row r="135" spans="1:7" x14ac:dyDescent="0.25">
      <c r="A135" s="385"/>
      <c r="B135" s="379"/>
      <c r="C135" s="123" t="s">
        <v>120</v>
      </c>
      <c r="D135" s="123" t="s">
        <v>101</v>
      </c>
      <c r="E135" s="381"/>
      <c r="F135" s="139">
        <f>330*(1+E5)</f>
        <v>330</v>
      </c>
      <c r="G135" s="140">
        <f>390*(1+E5)</f>
        <v>390</v>
      </c>
    </row>
    <row r="136" spans="1:7" x14ac:dyDescent="0.25">
      <c r="A136" s="383" t="s">
        <v>99</v>
      </c>
      <c r="B136" s="379"/>
      <c r="C136" s="123" t="s">
        <v>121</v>
      </c>
      <c r="D136" s="123" t="s">
        <v>96</v>
      </c>
      <c r="E136" s="381"/>
      <c r="F136" s="139">
        <f>430*(1+E5)</f>
        <v>430</v>
      </c>
      <c r="G136" s="140">
        <f>500*(1+E5)</f>
        <v>500</v>
      </c>
    </row>
    <row r="137" spans="1:7" x14ac:dyDescent="0.25">
      <c r="A137" s="385"/>
      <c r="B137" s="379"/>
      <c r="C137" s="123" t="s">
        <v>120</v>
      </c>
      <c r="D137" s="123" t="s">
        <v>101</v>
      </c>
      <c r="E137" s="381"/>
      <c r="F137" s="139">
        <f>330*(1+E5)</f>
        <v>330</v>
      </c>
      <c r="G137" s="140">
        <f>390*(1+E5)</f>
        <v>390</v>
      </c>
    </row>
    <row r="138" spans="1:7" x14ac:dyDescent="0.25">
      <c r="A138" s="124" t="s">
        <v>102</v>
      </c>
      <c r="B138" s="380"/>
      <c r="C138" s="123" t="s">
        <v>331</v>
      </c>
      <c r="D138" s="123" t="s">
        <v>95</v>
      </c>
      <c r="E138" s="382"/>
      <c r="F138" s="139">
        <f>240*(1+E5)</f>
        <v>240</v>
      </c>
      <c r="G138" s="140">
        <f>280*(1+E5)</f>
        <v>280</v>
      </c>
    </row>
    <row r="139" spans="1:7" ht="17.399999999999999" x14ac:dyDescent="0.25">
      <c r="A139" s="223" t="s">
        <v>103</v>
      </c>
      <c r="B139" s="224"/>
      <c r="C139" s="224"/>
      <c r="D139" s="224"/>
      <c r="E139" s="224"/>
      <c r="F139" s="224"/>
      <c r="G139" s="224"/>
    </row>
    <row r="140" spans="1:7" x14ac:dyDescent="0.25">
      <c r="A140" s="281" t="s">
        <v>397</v>
      </c>
      <c r="B140" s="225" t="s">
        <v>1</v>
      </c>
      <c r="C140" s="298" t="s">
        <v>2</v>
      </c>
      <c r="D140" s="95" t="s">
        <v>82</v>
      </c>
      <c r="E140" s="87" t="s">
        <v>367</v>
      </c>
      <c r="F140" s="77">
        <f>2400*(1+E5)</f>
        <v>2400</v>
      </c>
      <c r="G140" s="7">
        <f>2750*(1+E5)</f>
        <v>2750</v>
      </c>
    </row>
    <row r="141" spans="1:7" x14ac:dyDescent="0.25">
      <c r="A141" s="282"/>
      <c r="B141" s="204"/>
      <c r="C141" s="205"/>
      <c r="D141" s="80" t="s">
        <v>115</v>
      </c>
      <c r="E141" s="87" t="s">
        <v>403</v>
      </c>
      <c r="F141" s="98">
        <f>2950*(1+E5)</f>
        <v>2950</v>
      </c>
      <c r="G141" s="90">
        <f>3400*(1+E5)</f>
        <v>3400</v>
      </c>
    </row>
    <row r="142" spans="1:7" x14ac:dyDescent="0.25">
      <c r="A142" s="282"/>
      <c r="B142" s="204"/>
      <c r="C142" s="205"/>
      <c r="D142" s="80" t="s">
        <v>114</v>
      </c>
      <c r="E142" s="87" t="s">
        <v>368</v>
      </c>
      <c r="F142" s="98">
        <f>3000*(1+E5)</f>
        <v>3000</v>
      </c>
      <c r="G142" s="90">
        <f>3500*(1+E5)</f>
        <v>3500</v>
      </c>
    </row>
    <row r="143" spans="1:7" x14ac:dyDescent="0.25">
      <c r="A143" s="282"/>
      <c r="B143" s="204"/>
      <c r="C143" s="205"/>
      <c r="D143" s="80" t="s">
        <v>400</v>
      </c>
      <c r="E143" s="87" t="s">
        <v>404</v>
      </c>
      <c r="F143" s="98">
        <f>3100*(1+E5)</f>
        <v>3100</v>
      </c>
      <c r="G143" s="90">
        <f>3600*(1+E5)</f>
        <v>3600</v>
      </c>
    </row>
    <row r="144" spans="1:7" x14ac:dyDescent="0.25">
      <c r="A144" s="282"/>
      <c r="B144" s="204"/>
      <c r="C144" s="205"/>
      <c r="D144" s="80" t="s">
        <v>399</v>
      </c>
      <c r="E144" s="87" t="s">
        <v>405</v>
      </c>
      <c r="F144" s="98">
        <f>3200*(1+E5)</f>
        <v>3200</v>
      </c>
      <c r="G144" s="90">
        <f>3700*(1+E5)</f>
        <v>3700</v>
      </c>
    </row>
    <row r="145" spans="1:7" x14ac:dyDescent="0.25">
      <c r="A145" s="282"/>
      <c r="B145" s="204"/>
      <c r="C145" s="205"/>
      <c r="D145" s="80" t="s">
        <v>401</v>
      </c>
      <c r="E145" s="87" t="s">
        <v>367</v>
      </c>
      <c r="F145" s="98">
        <f>3300*(1+E5)</f>
        <v>3300</v>
      </c>
      <c r="G145" s="90">
        <f>3800*(1+E5)</f>
        <v>3800</v>
      </c>
    </row>
    <row r="146" spans="1:7" x14ac:dyDescent="0.25">
      <c r="A146" s="282"/>
      <c r="B146" s="204"/>
      <c r="C146" s="205"/>
      <c r="D146" s="80" t="s">
        <v>402</v>
      </c>
      <c r="E146" s="87" t="s">
        <v>367</v>
      </c>
      <c r="F146" s="98">
        <f>3400*(1+E5)</f>
        <v>3400</v>
      </c>
      <c r="G146" s="90">
        <f>3900*(1+E5)</f>
        <v>3900</v>
      </c>
    </row>
    <row r="147" spans="1:7" x14ac:dyDescent="0.25">
      <c r="A147" s="282"/>
      <c r="B147" s="204" t="s">
        <v>6</v>
      </c>
      <c r="C147" s="205"/>
      <c r="D147" s="95" t="s">
        <v>82</v>
      </c>
      <c r="E147" s="87" t="s">
        <v>367</v>
      </c>
      <c r="F147" s="98">
        <f>2200*(1+E5)</f>
        <v>2200</v>
      </c>
      <c r="G147" s="90" t="s">
        <v>71</v>
      </c>
    </row>
    <row r="148" spans="1:7" x14ac:dyDescent="0.25">
      <c r="A148" s="282"/>
      <c r="B148" s="204"/>
      <c r="C148" s="205"/>
      <c r="D148" s="80" t="s">
        <v>115</v>
      </c>
      <c r="E148" s="87" t="s">
        <v>403</v>
      </c>
      <c r="F148" s="98">
        <f>2750*(1+E5)</f>
        <v>2750</v>
      </c>
      <c r="G148" s="90" t="s">
        <v>71</v>
      </c>
    </row>
    <row r="149" spans="1:7" x14ac:dyDescent="0.25">
      <c r="A149" s="282"/>
      <c r="B149" s="204"/>
      <c r="C149" s="205"/>
      <c r="D149" s="80" t="s">
        <v>114</v>
      </c>
      <c r="E149" s="87" t="s">
        <v>368</v>
      </c>
      <c r="F149" s="98">
        <f>2800*(1+E5)</f>
        <v>2800</v>
      </c>
      <c r="G149" s="90" t="s">
        <v>71</v>
      </c>
    </row>
    <row r="150" spans="1:7" x14ac:dyDescent="0.25">
      <c r="A150" s="282"/>
      <c r="B150" s="204"/>
      <c r="C150" s="205"/>
      <c r="D150" s="80" t="s">
        <v>400</v>
      </c>
      <c r="E150" s="87" t="s">
        <v>404</v>
      </c>
      <c r="F150" s="98">
        <f>2900*(1+E5)</f>
        <v>2900</v>
      </c>
      <c r="G150" s="90" t="s">
        <v>71</v>
      </c>
    </row>
    <row r="151" spans="1:7" x14ac:dyDescent="0.25">
      <c r="A151" s="282"/>
      <c r="B151" s="204"/>
      <c r="C151" s="205"/>
      <c r="D151" s="80" t="s">
        <v>399</v>
      </c>
      <c r="E151" s="87" t="s">
        <v>405</v>
      </c>
      <c r="F151" s="98">
        <f>3000*(1+E5)</f>
        <v>3000</v>
      </c>
      <c r="G151" s="90" t="s">
        <v>71</v>
      </c>
    </row>
    <row r="152" spans="1:7" x14ac:dyDescent="0.25">
      <c r="A152" s="282"/>
      <c r="B152" s="204"/>
      <c r="C152" s="205"/>
      <c r="D152" s="80" t="s">
        <v>401</v>
      </c>
      <c r="E152" s="87" t="s">
        <v>367</v>
      </c>
      <c r="F152" s="98">
        <f>3100*(1+E5)</f>
        <v>3100</v>
      </c>
      <c r="G152" s="90" t="s">
        <v>71</v>
      </c>
    </row>
    <row r="153" spans="1:7" x14ac:dyDescent="0.25">
      <c r="A153" s="283"/>
      <c r="B153" s="204"/>
      <c r="C153" s="205"/>
      <c r="D153" s="80" t="s">
        <v>402</v>
      </c>
      <c r="E153" s="87" t="s">
        <v>367</v>
      </c>
      <c r="F153" s="98">
        <f>3200*(1+E5)</f>
        <v>3200</v>
      </c>
      <c r="G153" s="90" t="s">
        <v>71</v>
      </c>
    </row>
    <row r="154" spans="1:7" x14ac:dyDescent="0.25">
      <c r="A154" s="281" t="s">
        <v>398</v>
      </c>
      <c r="B154" s="225" t="s">
        <v>1</v>
      </c>
      <c r="C154" s="298" t="s">
        <v>18</v>
      </c>
      <c r="D154" s="95" t="s">
        <v>82</v>
      </c>
      <c r="E154" s="87" t="s">
        <v>371</v>
      </c>
      <c r="F154" s="77">
        <f>1100*(1+E5)</f>
        <v>1100</v>
      </c>
      <c r="G154" s="7">
        <f>1300*(1+E5)</f>
        <v>1300</v>
      </c>
    </row>
    <row r="155" spans="1:7" x14ac:dyDescent="0.25">
      <c r="A155" s="282"/>
      <c r="B155" s="204"/>
      <c r="C155" s="205"/>
      <c r="D155" s="80" t="s">
        <v>115</v>
      </c>
      <c r="E155" s="87" t="s">
        <v>406</v>
      </c>
      <c r="F155" s="98">
        <f>1450*(1+E5)</f>
        <v>1450</v>
      </c>
      <c r="G155" s="90">
        <f>1650*(1+E5)</f>
        <v>1650</v>
      </c>
    </row>
    <row r="156" spans="1:7" x14ac:dyDescent="0.25">
      <c r="A156" s="282"/>
      <c r="B156" s="204"/>
      <c r="C156" s="205"/>
      <c r="D156" s="80" t="s">
        <v>114</v>
      </c>
      <c r="E156" s="87" t="s">
        <v>372</v>
      </c>
      <c r="F156" s="98">
        <f>1500*(1+E5)</f>
        <v>1500</v>
      </c>
      <c r="G156" s="90">
        <f>1700*(1+E5)</f>
        <v>1700</v>
      </c>
    </row>
    <row r="157" spans="1:7" x14ac:dyDescent="0.25">
      <c r="A157" s="282"/>
      <c r="B157" s="204"/>
      <c r="C157" s="205"/>
      <c r="D157" s="80" t="s">
        <v>400</v>
      </c>
      <c r="E157" s="87" t="s">
        <v>407</v>
      </c>
      <c r="F157" s="98">
        <f>1600*(1+E5)</f>
        <v>1600</v>
      </c>
      <c r="G157" s="90">
        <f>1800*(1+E5)</f>
        <v>1800</v>
      </c>
    </row>
    <row r="158" spans="1:7" x14ac:dyDescent="0.25">
      <c r="A158" s="282"/>
      <c r="B158" s="204"/>
      <c r="C158" s="205"/>
      <c r="D158" s="80" t="s">
        <v>399</v>
      </c>
      <c r="E158" s="87" t="s">
        <v>408</v>
      </c>
      <c r="F158" s="98">
        <f>1650*(1+E5)</f>
        <v>1650</v>
      </c>
      <c r="G158" s="90">
        <f>1850*(1+E5)</f>
        <v>1850</v>
      </c>
    </row>
    <row r="159" spans="1:7" x14ac:dyDescent="0.25">
      <c r="A159" s="282"/>
      <c r="B159" s="204"/>
      <c r="C159" s="205"/>
      <c r="D159" s="80" t="s">
        <v>401</v>
      </c>
      <c r="E159" s="87" t="s">
        <v>371</v>
      </c>
      <c r="F159" s="98">
        <f>1700*(1+E5)</f>
        <v>1700</v>
      </c>
      <c r="G159" s="90">
        <f>1900*(1+E5)</f>
        <v>1900</v>
      </c>
    </row>
    <row r="160" spans="1:7" x14ac:dyDescent="0.25">
      <c r="A160" s="282"/>
      <c r="B160" s="204"/>
      <c r="C160" s="205"/>
      <c r="D160" s="80" t="s">
        <v>402</v>
      </c>
      <c r="E160" s="87" t="s">
        <v>371</v>
      </c>
      <c r="F160" s="98">
        <f>1800*(1+E5)</f>
        <v>1800</v>
      </c>
      <c r="G160" s="90">
        <f>2000*(1+E5)</f>
        <v>2000</v>
      </c>
    </row>
    <row r="161" spans="1:7" x14ac:dyDescent="0.25">
      <c r="A161" s="282"/>
      <c r="B161" s="204" t="s">
        <v>6</v>
      </c>
      <c r="C161" s="205"/>
      <c r="D161" s="95" t="s">
        <v>82</v>
      </c>
      <c r="E161" s="87" t="s">
        <v>371</v>
      </c>
      <c r="F161" s="98">
        <f>1000*(1+E5)</f>
        <v>1000</v>
      </c>
      <c r="G161" s="90" t="s">
        <v>71</v>
      </c>
    </row>
    <row r="162" spans="1:7" x14ac:dyDescent="0.25">
      <c r="A162" s="282"/>
      <c r="B162" s="204"/>
      <c r="C162" s="205"/>
      <c r="D162" s="80" t="s">
        <v>115</v>
      </c>
      <c r="E162" s="87" t="s">
        <v>406</v>
      </c>
      <c r="F162" s="98">
        <f>1350*(1+E5)</f>
        <v>1350</v>
      </c>
      <c r="G162" s="90" t="s">
        <v>71</v>
      </c>
    </row>
    <row r="163" spans="1:7" x14ac:dyDescent="0.25">
      <c r="A163" s="282"/>
      <c r="B163" s="204"/>
      <c r="C163" s="205"/>
      <c r="D163" s="80" t="s">
        <v>114</v>
      </c>
      <c r="E163" s="87" t="s">
        <v>372</v>
      </c>
      <c r="F163" s="98">
        <f>1400*(1+E5)</f>
        <v>1400</v>
      </c>
      <c r="G163" s="90" t="s">
        <v>71</v>
      </c>
    </row>
    <row r="164" spans="1:7" x14ac:dyDescent="0.25">
      <c r="A164" s="282"/>
      <c r="B164" s="204"/>
      <c r="C164" s="205"/>
      <c r="D164" s="80" t="s">
        <v>400</v>
      </c>
      <c r="E164" s="87" t="s">
        <v>407</v>
      </c>
      <c r="F164" s="98">
        <f>1500*(1+E5)</f>
        <v>1500</v>
      </c>
      <c r="G164" s="90" t="s">
        <v>71</v>
      </c>
    </row>
    <row r="165" spans="1:7" x14ac:dyDescent="0.25">
      <c r="A165" s="282"/>
      <c r="B165" s="204"/>
      <c r="C165" s="205"/>
      <c r="D165" s="80" t="s">
        <v>399</v>
      </c>
      <c r="E165" s="87" t="s">
        <v>408</v>
      </c>
      <c r="F165" s="98">
        <f>1550*(1+E5)</f>
        <v>1550</v>
      </c>
      <c r="G165" s="90" t="s">
        <v>71</v>
      </c>
    </row>
    <row r="166" spans="1:7" x14ac:dyDescent="0.25">
      <c r="A166" s="282"/>
      <c r="B166" s="204"/>
      <c r="C166" s="205"/>
      <c r="D166" s="80" t="s">
        <v>401</v>
      </c>
      <c r="E166" s="87" t="s">
        <v>371</v>
      </c>
      <c r="F166" s="98">
        <f>1600*(1+E5)</f>
        <v>1600</v>
      </c>
      <c r="G166" s="90" t="s">
        <v>71</v>
      </c>
    </row>
    <row r="167" spans="1:7" x14ac:dyDescent="0.25">
      <c r="A167" s="282"/>
      <c r="B167" s="204"/>
      <c r="C167" s="205"/>
      <c r="D167" s="80" t="s">
        <v>402</v>
      </c>
      <c r="E167" s="87" t="s">
        <v>371</v>
      </c>
      <c r="F167" s="98">
        <f>1700*(1+E5)</f>
        <v>1700</v>
      </c>
      <c r="G167" s="90" t="s">
        <v>71</v>
      </c>
    </row>
    <row r="168" spans="1:7" x14ac:dyDescent="0.25">
      <c r="A168" s="255" t="s">
        <v>19</v>
      </c>
      <c r="B168" s="181" t="s">
        <v>1</v>
      </c>
      <c r="C168" s="205" t="s">
        <v>20</v>
      </c>
      <c r="D168" s="88" t="s">
        <v>48</v>
      </c>
      <c r="E168" s="80" t="s">
        <v>409</v>
      </c>
      <c r="F168" s="98">
        <f>3800*(1+E5)</f>
        <v>3800</v>
      </c>
      <c r="G168" s="90">
        <f>4350*(1+E5)</f>
        <v>4350</v>
      </c>
    </row>
    <row r="169" spans="1:7" x14ac:dyDescent="0.25">
      <c r="A169" s="255"/>
      <c r="B169" s="208"/>
      <c r="C169" s="205"/>
      <c r="D169" s="80" t="s">
        <v>400</v>
      </c>
      <c r="E169" s="80" t="s">
        <v>410</v>
      </c>
      <c r="F169" s="98">
        <f>4100*(1+E5)</f>
        <v>4100</v>
      </c>
      <c r="G169" s="90">
        <f>4700*(1+E5)</f>
        <v>4700</v>
      </c>
    </row>
    <row r="170" spans="1:7" x14ac:dyDescent="0.25">
      <c r="A170" s="255"/>
      <c r="B170" s="284"/>
      <c r="C170" s="205"/>
      <c r="D170" s="80" t="s">
        <v>115</v>
      </c>
      <c r="E170" s="80" t="s">
        <v>411</v>
      </c>
      <c r="F170" s="98">
        <f>4000*(1+E5)</f>
        <v>4000</v>
      </c>
      <c r="G170" s="90">
        <f>4600*(1+E5)</f>
        <v>4600</v>
      </c>
    </row>
    <row r="171" spans="1:7" x14ac:dyDescent="0.25">
      <c r="A171" s="255"/>
      <c r="B171" s="204" t="s">
        <v>6</v>
      </c>
      <c r="C171" s="205"/>
      <c r="D171" s="80" t="s">
        <v>48</v>
      </c>
      <c r="E171" s="80" t="s">
        <v>409</v>
      </c>
      <c r="F171" s="98">
        <f>3500*(1+E5)</f>
        <v>3500</v>
      </c>
      <c r="G171" s="90" t="s">
        <v>71</v>
      </c>
    </row>
    <row r="172" spans="1:7" x14ac:dyDescent="0.25">
      <c r="A172" s="193"/>
      <c r="B172" s="181"/>
      <c r="C172" s="309"/>
      <c r="D172" s="70" t="s">
        <v>400</v>
      </c>
      <c r="E172" s="80" t="s">
        <v>410</v>
      </c>
      <c r="F172" s="76">
        <f>3900*(1+E5)</f>
        <v>3900</v>
      </c>
      <c r="G172" s="19" t="s">
        <v>71</v>
      </c>
    </row>
    <row r="173" spans="1:7" x14ac:dyDescent="0.25">
      <c r="A173" s="193"/>
      <c r="B173" s="181"/>
      <c r="C173" s="309"/>
      <c r="D173" s="70" t="s">
        <v>115</v>
      </c>
      <c r="E173" s="80" t="s">
        <v>411</v>
      </c>
      <c r="F173" s="76">
        <f>3800*(1+E5)</f>
        <v>3800</v>
      </c>
      <c r="G173" s="19" t="s">
        <v>71</v>
      </c>
    </row>
    <row r="174" spans="1:7" x14ac:dyDescent="0.25">
      <c r="A174" s="209" t="s">
        <v>108</v>
      </c>
      <c r="B174" s="210"/>
      <c r="C174" s="210"/>
      <c r="D174" s="210"/>
      <c r="E174" s="210"/>
      <c r="F174" s="210"/>
      <c r="G174" s="210"/>
    </row>
    <row r="175" spans="1:7" x14ac:dyDescent="0.25">
      <c r="A175" s="211" t="s">
        <v>81</v>
      </c>
      <c r="B175" s="74" t="s">
        <v>1</v>
      </c>
      <c r="C175" s="74" t="s">
        <v>2</v>
      </c>
      <c r="D175" s="169"/>
      <c r="E175" s="200" t="s">
        <v>464</v>
      </c>
      <c r="F175" s="74">
        <f>1450*(1+E5)</f>
        <v>1450</v>
      </c>
      <c r="G175" s="74">
        <f>1650*(1+E5)</f>
        <v>1650</v>
      </c>
    </row>
    <row r="176" spans="1:7" x14ac:dyDescent="0.25">
      <c r="A176" s="211"/>
      <c r="B176" s="74" t="s">
        <v>8</v>
      </c>
      <c r="C176" s="74" t="s">
        <v>2</v>
      </c>
      <c r="D176" s="169"/>
      <c r="E176" s="168"/>
      <c r="F176" s="74">
        <f>1350*(1+E5)</f>
        <v>1350</v>
      </c>
      <c r="G176" s="74" t="s">
        <v>71</v>
      </c>
    </row>
    <row r="177" spans="1:7" s="10" customFormat="1" x14ac:dyDescent="0.25">
      <c r="A177" s="211" t="s">
        <v>81</v>
      </c>
      <c r="B177" s="74" t="s">
        <v>1</v>
      </c>
      <c r="C177" s="74" t="s">
        <v>18</v>
      </c>
      <c r="D177" s="169"/>
      <c r="E177" s="168"/>
      <c r="F177" s="74">
        <f>750*(1+E5)</f>
        <v>750</v>
      </c>
      <c r="G177" s="74">
        <f>800*(1+E5)</f>
        <v>800</v>
      </c>
    </row>
    <row r="178" spans="1:7" s="10" customFormat="1" x14ac:dyDescent="0.25">
      <c r="A178" s="211"/>
      <c r="B178" s="74" t="s">
        <v>8</v>
      </c>
      <c r="C178" s="74" t="s">
        <v>18</v>
      </c>
      <c r="D178" s="169"/>
      <c r="E178" s="156"/>
      <c r="F178" s="74">
        <f>700*(1+E5)</f>
        <v>700</v>
      </c>
      <c r="G178" s="74" t="s">
        <v>71</v>
      </c>
    </row>
    <row r="179" spans="1:7" x14ac:dyDescent="0.25">
      <c r="A179" s="214" t="s">
        <v>80</v>
      </c>
      <c r="B179" s="74" t="s">
        <v>1</v>
      </c>
      <c r="C179" s="74"/>
      <c r="D179" s="198" t="s">
        <v>82</v>
      </c>
      <c r="E179" s="151" t="s">
        <v>370</v>
      </c>
      <c r="F179" s="74">
        <f>1450*(1+E5)</f>
        <v>1450</v>
      </c>
      <c r="G179" s="74">
        <f>1650*(1+E5)</f>
        <v>1650</v>
      </c>
    </row>
    <row r="180" spans="1:7" x14ac:dyDescent="0.25">
      <c r="A180" s="215"/>
      <c r="B180" s="74" t="s">
        <v>8</v>
      </c>
      <c r="C180" s="74"/>
      <c r="D180" s="198"/>
      <c r="E180" s="153"/>
      <c r="F180" s="74">
        <f>1350*(1+E5)</f>
        <v>1350</v>
      </c>
      <c r="G180" s="74" t="s">
        <v>71</v>
      </c>
    </row>
    <row r="181" spans="1:7" x14ac:dyDescent="0.25">
      <c r="A181" s="234"/>
      <c r="B181" s="74" t="s">
        <v>1</v>
      </c>
      <c r="C181" s="74"/>
      <c r="D181" s="197" t="s">
        <v>115</v>
      </c>
      <c r="E181" s="151" t="s">
        <v>412</v>
      </c>
      <c r="F181" s="74">
        <f>1950*(1+E5)</f>
        <v>1950</v>
      </c>
      <c r="G181" s="74">
        <f>2250*(1+E5)</f>
        <v>2250</v>
      </c>
    </row>
    <row r="182" spans="1:7" x14ac:dyDescent="0.25">
      <c r="A182" s="234"/>
      <c r="B182" s="74" t="s">
        <v>8</v>
      </c>
      <c r="C182" s="74"/>
      <c r="D182" s="152"/>
      <c r="E182" s="153"/>
      <c r="F182" s="74">
        <f>1800*(1+E5)</f>
        <v>1800</v>
      </c>
      <c r="G182" s="74" t="s">
        <v>71</v>
      </c>
    </row>
    <row r="183" spans="1:7" x14ac:dyDescent="0.25">
      <c r="A183" s="234"/>
      <c r="B183" s="74" t="s">
        <v>1</v>
      </c>
      <c r="C183" s="74"/>
      <c r="D183" s="198" t="s">
        <v>114</v>
      </c>
      <c r="E183" s="151" t="s">
        <v>294</v>
      </c>
      <c r="F183" s="74">
        <f>2000*(1+E5)</f>
        <v>2000</v>
      </c>
      <c r="G183" s="74">
        <f>2300*(1+E5)</f>
        <v>2300</v>
      </c>
    </row>
    <row r="184" spans="1:7" x14ac:dyDescent="0.25">
      <c r="A184" s="234"/>
      <c r="B184" s="74" t="s">
        <v>8</v>
      </c>
      <c r="C184" s="74"/>
      <c r="D184" s="199"/>
      <c r="E184" s="153"/>
      <c r="F184" s="74">
        <f>1850*(1+E5)</f>
        <v>1850</v>
      </c>
      <c r="G184" s="74" t="s">
        <v>71</v>
      </c>
    </row>
    <row r="185" spans="1:7" x14ac:dyDescent="0.25">
      <c r="A185" s="234"/>
      <c r="B185" s="74" t="s">
        <v>1</v>
      </c>
      <c r="C185" s="74"/>
      <c r="D185" s="155" t="s">
        <v>400</v>
      </c>
      <c r="E185" s="151" t="s">
        <v>413</v>
      </c>
      <c r="F185" s="74">
        <f>2100*(1+E5)</f>
        <v>2100</v>
      </c>
      <c r="G185" s="74">
        <f>2400*(1+E5)</f>
        <v>2400</v>
      </c>
    </row>
    <row r="186" spans="1:7" x14ac:dyDescent="0.25">
      <c r="A186" s="234"/>
      <c r="B186" s="74" t="s">
        <v>8</v>
      </c>
      <c r="C186" s="74"/>
      <c r="D186" s="156"/>
      <c r="E186" s="153"/>
      <c r="F186" s="74">
        <f>1950*(1+E5)</f>
        <v>1950</v>
      </c>
      <c r="G186" s="74"/>
    </row>
    <row r="187" spans="1:7" x14ac:dyDescent="0.25">
      <c r="A187" s="234"/>
      <c r="B187" s="74" t="s">
        <v>1</v>
      </c>
      <c r="C187" s="74"/>
      <c r="D187" s="155" t="s">
        <v>399</v>
      </c>
      <c r="E187" s="196" t="s">
        <v>414</v>
      </c>
      <c r="F187" s="74">
        <f>2200*(1+E5)</f>
        <v>2200</v>
      </c>
      <c r="G187" s="74">
        <f>2500*(1+E5)</f>
        <v>2500</v>
      </c>
    </row>
    <row r="188" spans="1:7" x14ac:dyDescent="0.25">
      <c r="A188" s="234"/>
      <c r="B188" s="74" t="s">
        <v>8</v>
      </c>
      <c r="C188" s="74"/>
      <c r="D188" s="156"/>
      <c r="E188" s="156"/>
      <c r="F188" s="74">
        <f>2050*(1+E5)</f>
        <v>2050</v>
      </c>
      <c r="G188" s="74" t="s">
        <v>71</v>
      </c>
    </row>
    <row r="189" spans="1:7" x14ac:dyDescent="0.25">
      <c r="A189" s="234"/>
      <c r="B189" s="74" t="s">
        <v>1</v>
      </c>
      <c r="C189" s="74"/>
      <c r="D189" s="155" t="s">
        <v>401</v>
      </c>
      <c r="E189" s="151" t="s">
        <v>370</v>
      </c>
      <c r="F189" s="74">
        <f>2300*(1+E5)</f>
        <v>2300</v>
      </c>
      <c r="G189" s="74">
        <f>2600*(1+E5)</f>
        <v>2600</v>
      </c>
    </row>
    <row r="190" spans="1:7" x14ac:dyDescent="0.25">
      <c r="A190" s="234"/>
      <c r="B190" s="74" t="s">
        <v>8</v>
      </c>
      <c r="C190" s="74"/>
      <c r="D190" s="156"/>
      <c r="E190" s="153"/>
      <c r="F190" s="74">
        <f>2100*(1+E5)</f>
        <v>2100</v>
      </c>
      <c r="G190" s="74" t="s">
        <v>71</v>
      </c>
    </row>
    <row r="191" spans="1:7" x14ac:dyDescent="0.25">
      <c r="A191" s="234"/>
      <c r="B191" s="74" t="s">
        <v>1</v>
      </c>
      <c r="C191" s="74"/>
      <c r="D191" s="155" t="s">
        <v>402</v>
      </c>
      <c r="E191" s="151" t="s">
        <v>370</v>
      </c>
      <c r="F191" s="74">
        <f>2400*(1+E5)</f>
        <v>2400</v>
      </c>
      <c r="G191" s="74">
        <f>2700*(1+E5)</f>
        <v>2700</v>
      </c>
    </row>
    <row r="192" spans="1:7" x14ac:dyDescent="0.25">
      <c r="A192" s="235"/>
      <c r="B192" s="74" t="s">
        <v>8</v>
      </c>
      <c r="C192" s="74"/>
      <c r="D192" s="156"/>
      <c r="E192" s="153"/>
      <c r="F192" s="74">
        <f>2200*(1+E5)</f>
        <v>2200</v>
      </c>
      <c r="G192" s="74" t="s">
        <v>71</v>
      </c>
    </row>
    <row r="193" spans="1:7" x14ac:dyDescent="0.25">
      <c r="A193" s="211" t="s">
        <v>116</v>
      </c>
      <c r="B193" s="74" t="s">
        <v>1</v>
      </c>
      <c r="C193" s="74"/>
      <c r="D193" s="169" t="s">
        <v>114</v>
      </c>
      <c r="E193" s="151" t="s">
        <v>128</v>
      </c>
      <c r="F193" s="74">
        <f>240*(1+E5)</f>
        <v>240</v>
      </c>
      <c r="G193" s="74">
        <f>280*(1+E5)</f>
        <v>280</v>
      </c>
    </row>
    <row r="194" spans="1:7" x14ac:dyDescent="0.25">
      <c r="A194" s="211"/>
      <c r="B194" s="74" t="s">
        <v>8</v>
      </c>
      <c r="C194" s="74"/>
      <c r="D194" s="169"/>
      <c r="E194" s="153"/>
      <c r="F194" s="74">
        <f>220*(1+E5)</f>
        <v>220</v>
      </c>
      <c r="G194" s="74" t="s">
        <v>71</v>
      </c>
    </row>
    <row r="195" spans="1:7" x14ac:dyDescent="0.25">
      <c r="A195" s="211" t="s">
        <v>323</v>
      </c>
      <c r="B195" s="74" t="s">
        <v>1</v>
      </c>
      <c r="C195" s="74"/>
      <c r="D195" s="169" t="s">
        <v>115</v>
      </c>
      <c r="E195" s="151" t="s">
        <v>415</v>
      </c>
      <c r="F195" s="74">
        <f>650*(1+E5)</f>
        <v>650</v>
      </c>
      <c r="G195" s="74">
        <f>750*(1+E5)</f>
        <v>750</v>
      </c>
    </row>
    <row r="196" spans="1:7" x14ac:dyDescent="0.25">
      <c r="A196" s="211"/>
      <c r="B196" s="74" t="s">
        <v>8</v>
      </c>
      <c r="C196" s="74"/>
      <c r="D196" s="169"/>
      <c r="E196" s="153"/>
      <c r="F196" s="74">
        <f>600*(1+E5)</f>
        <v>600</v>
      </c>
      <c r="G196" s="74" t="s">
        <v>71</v>
      </c>
    </row>
    <row r="197" spans="1:7" x14ac:dyDescent="0.25">
      <c r="A197" s="230" t="s">
        <v>31</v>
      </c>
      <c r="B197" s="74" t="s">
        <v>1</v>
      </c>
      <c r="C197" s="169" t="s">
        <v>20</v>
      </c>
      <c r="D197" s="169" t="s">
        <v>5</v>
      </c>
      <c r="E197" s="219" t="s">
        <v>380</v>
      </c>
      <c r="F197" s="74">
        <f>2500*(1+E5)</f>
        <v>2500</v>
      </c>
      <c r="G197" s="74">
        <f>2900*(1+E5)</f>
        <v>2900</v>
      </c>
    </row>
    <row r="198" spans="1:7" x14ac:dyDescent="0.25">
      <c r="A198" s="231"/>
      <c r="B198" s="74" t="s">
        <v>8</v>
      </c>
      <c r="C198" s="169"/>
      <c r="D198" s="355"/>
      <c r="E198" s="219"/>
      <c r="F198" s="74">
        <f>2300*(1+E5)</f>
        <v>2300</v>
      </c>
      <c r="G198" s="74" t="s">
        <v>71</v>
      </c>
    </row>
    <row r="199" spans="1:7" x14ac:dyDescent="0.25">
      <c r="A199" s="232"/>
      <c r="B199" s="74" t="s">
        <v>1</v>
      </c>
      <c r="C199" s="169" t="s">
        <v>20</v>
      </c>
      <c r="D199" s="169" t="s">
        <v>104</v>
      </c>
      <c r="E199" s="219" t="s">
        <v>380</v>
      </c>
      <c r="F199" s="74">
        <f>2800*(1+E5)</f>
        <v>2800</v>
      </c>
      <c r="G199" s="74">
        <f>3200*(1+E5)</f>
        <v>3200</v>
      </c>
    </row>
    <row r="200" spans="1:7" x14ac:dyDescent="0.25">
      <c r="A200" s="233"/>
      <c r="B200" s="74" t="s">
        <v>8</v>
      </c>
      <c r="C200" s="169"/>
      <c r="D200" s="169"/>
      <c r="E200" s="219"/>
      <c r="F200" s="74">
        <f>2600*(1+E5)</f>
        <v>2600</v>
      </c>
      <c r="G200" s="74" t="s">
        <v>71</v>
      </c>
    </row>
    <row r="201" spans="1:7" s="10" customFormat="1" x14ac:dyDescent="0.25">
      <c r="A201" s="211" t="s">
        <v>330</v>
      </c>
      <c r="B201" s="74" t="s">
        <v>1</v>
      </c>
      <c r="C201" s="169"/>
      <c r="D201" s="169" t="s">
        <v>48</v>
      </c>
      <c r="E201" s="219" t="s">
        <v>128</v>
      </c>
      <c r="F201" s="74">
        <f>240*(1+E5)</f>
        <v>240</v>
      </c>
      <c r="G201" s="74">
        <f>270*(1+E5)</f>
        <v>270</v>
      </c>
    </row>
    <row r="202" spans="1:7" s="10" customFormat="1" x14ac:dyDescent="0.25">
      <c r="A202" s="211"/>
      <c r="B202" s="74" t="s">
        <v>8</v>
      </c>
      <c r="C202" s="169"/>
      <c r="D202" s="355"/>
      <c r="E202" s="219"/>
      <c r="F202" s="74">
        <f>220*(1+E5)</f>
        <v>220</v>
      </c>
      <c r="G202" s="74" t="s">
        <v>71</v>
      </c>
    </row>
    <row r="203" spans="1:7" x14ac:dyDescent="0.25">
      <c r="A203" s="230" t="s">
        <v>32</v>
      </c>
      <c r="B203" s="74" t="s">
        <v>1</v>
      </c>
      <c r="C203" s="169"/>
      <c r="D203" s="169" t="s">
        <v>48</v>
      </c>
      <c r="E203" s="219" t="s">
        <v>33</v>
      </c>
      <c r="F203" s="74">
        <f>1800*(1+E5)</f>
        <v>1800</v>
      </c>
      <c r="G203" s="74">
        <f>2000*(1+E5)</f>
        <v>2000</v>
      </c>
    </row>
    <row r="204" spans="1:7" x14ac:dyDescent="0.25">
      <c r="A204" s="231"/>
      <c r="B204" s="74" t="s">
        <v>8</v>
      </c>
      <c r="C204" s="169"/>
      <c r="D204" s="169"/>
      <c r="E204" s="219"/>
      <c r="F204" s="74">
        <f>1650*(1+E5)</f>
        <v>1650</v>
      </c>
      <c r="G204" s="74" t="s">
        <v>71</v>
      </c>
    </row>
    <row r="205" spans="1:7" x14ac:dyDescent="0.25">
      <c r="A205" s="232"/>
      <c r="B205" s="74" t="s">
        <v>1</v>
      </c>
      <c r="C205" s="169"/>
      <c r="D205" s="155" t="s">
        <v>115</v>
      </c>
      <c r="E205" s="195" t="s">
        <v>416</v>
      </c>
      <c r="F205" s="74">
        <f>2000*(1+E5)</f>
        <v>2000</v>
      </c>
      <c r="G205" s="74">
        <f>2300*(1+E5)</f>
        <v>2300</v>
      </c>
    </row>
    <row r="206" spans="1:7" x14ac:dyDescent="0.25">
      <c r="A206" s="232"/>
      <c r="B206" s="74" t="s">
        <v>8</v>
      </c>
      <c r="C206" s="169"/>
      <c r="D206" s="156"/>
      <c r="E206" s="156"/>
      <c r="F206" s="74">
        <f>1850*(1+E5)</f>
        <v>1850</v>
      </c>
      <c r="G206" s="74" t="s">
        <v>71</v>
      </c>
    </row>
    <row r="207" spans="1:7" x14ac:dyDescent="0.25">
      <c r="A207" s="232"/>
      <c r="B207" s="74" t="s">
        <v>1</v>
      </c>
      <c r="C207" s="169"/>
      <c r="D207" s="155" t="s">
        <v>400</v>
      </c>
      <c r="E207" s="151" t="s">
        <v>417</v>
      </c>
      <c r="F207" s="74">
        <f>2100*(1+E5)</f>
        <v>2100</v>
      </c>
      <c r="G207" s="74">
        <f>2400*(1+E5)</f>
        <v>2400</v>
      </c>
    </row>
    <row r="208" spans="1:7" x14ac:dyDescent="0.25">
      <c r="A208" s="233"/>
      <c r="B208" s="74" t="s">
        <v>8</v>
      </c>
      <c r="C208" s="169"/>
      <c r="D208" s="156"/>
      <c r="E208" s="153"/>
      <c r="F208" s="74">
        <f>1950*(1+E5)</f>
        <v>1950</v>
      </c>
      <c r="G208" s="74" t="s">
        <v>71</v>
      </c>
    </row>
    <row r="209" spans="1:7" ht="17.399999999999999" x14ac:dyDescent="0.25">
      <c r="A209" s="223" t="s">
        <v>342</v>
      </c>
      <c r="B209" s="327"/>
      <c r="C209" s="327"/>
      <c r="D209" s="327"/>
      <c r="E209" s="327"/>
      <c r="F209" s="327"/>
      <c r="G209" s="327"/>
    </row>
    <row r="210" spans="1:7" s="10" customFormat="1" x14ac:dyDescent="0.25">
      <c r="A210" s="48" t="s">
        <v>343</v>
      </c>
      <c r="B210" s="345" t="s">
        <v>1</v>
      </c>
      <c r="C210" s="53"/>
      <c r="D210" s="87" t="s">
        <v>48</v>
      </c>
      <c r="E210" s="220" t="s">
        <v>7</v>
      </c>
      <c r="F210" s="77">
        <f>180*(1+E5)</f>
        <v>180</v>
      </c>
      <c r="G210" s="77">
        <f>200*(1+E5)</f>
        <v>200</v>
      </c>
    </row>
    <row r="211" spans="1:7" s="10" customFormat="1" x14ac:dyDescent="0.25">
      <c r="A211" s="48" t="s">
        <v>344</v>
      </c>
      <c r="B211" s="346"/>
      <c r="C211" s="69"/>
      <c r="D211" s="87" t="s">
        <v>400</v>
      </c>
      <c r="E211" s="221"/>
      <c r="F211" s="98">
        <f>300*(1+E5)</f>
        <v>300</v>
      </c>
      <c r="G211" s="98">
        <f>350*(1+E5)</f>
        <v>350</v>
      </c>
    </row>
    <row r="212" spans="1:7" s="10" customFormat="1" x14ac:dyDescent="0.25">
      <c r="A212" s="48" t="s">
        <v>343</v>
      </c>
      <c r="B212" s="345" t="s">
        <v>8</v>
      </c>
      <c r="C212" s="53"/>
      <c r="D212" s="87" t="s">
        <v>48</v>
      </c>
      <c r="E212" s="221"/>
      <c r="F212" s="77">
        <f>150*(1+E5)</f>
        <v>150</v>
      </c>
      <c r="G212" s="77" t="s">
        <v>71</v>
      </c>
    </row>
    <row r="213" spans="1:7" s="10" customFormat="1" x14ac:dyDescent="0.25">
      <c r="A213" s="48" t="s">
        <v>344</v>
      </c>
      <c r="B213" s="346"/>
      <c r="C213" s="68"/>
      <c r="D213" s="87" t="s">
        <v>400</v>
      </c>
      <c r="E213" s="222"/>
      <c r="F213" s="98">
        <f>280*(1+E5)</f>
        <v>280</v>
      </c>
      <c r="G213" s="98" t="s">
        <v>71</v>
      </c>
    </row>
    <row r="214" spans="1:7" ht="17.399999999999999" x14ac:dyDescent="0.25">
      <c r="A214" s="223" t="s">
        <v>105</v>
      </c>
      <c r="B214" s="224"/>
      <c r="C214" s="224"/>
      <c r="D214" s="224"/>
      <c r="E214" s="224"/>
      <c r="F214" s="224"/>
      <c r="G214" s="224"/>
    </row>
    <row r="215" spans="1:7" x14ac:dyDescent="0.25">
      <c r="A215" s="226" t="s">
        <v>316</v>
      </c>
      <c r="B215" s="225" t="s">
        <v>1</v>
      </c>
      <c r="C215" s="89" t="s">
        <v>18</v>
      </c>
      <c r="D215" s="208" t="s">
        <v>82</v>
      </c>
      <c r="E215" s="87" t="s">
        <v>375</v>
      </c>
      <c r="F215" s="77">
        <f>3150*(1+E5)</f>
        <v>3150</v>
      </c>
      <c r="G215" s="7">
        <f>3600*(1+E5)</f>
        <v>3600</v>
      </c>
    </row>
    <row r="216" spans="1:7" x14ac:dyDescent="0.25">
      <c r="A216" s="227"/>
      <c r="B216" s="204"/>
      <c r="C216" s="89" t="s">
        <v>20</v>
      </c>
      <c r="D216" s="182"/>
      <c r="E216" s="87" t="s">
        <v>377</v>
      </c>
      <c r="F216" s="98">
        <f>6450*(1+E5)</f>
        <v>6450</v>
      </c>
      <c r="G216" s="90">
        <f>7500*(1+E5)</f>
        <v>7500</v>
      </c>
    </row>
    <row r="217" spans="1:7" x14ac:dyDescent="0.25">
      <c r="A217" s="227"/>
      <c r="B217" s="204" t="s">
        <v>8</v>
      </c>
      <c r="C217" s="84" t="s">
        <v>18</v>
      </c>
      <c r="D217" s="182"/>
      <c r="E217" s="87" t="s">
        <v>375</v>
      </c>
      <c r="F217" s="98">
        <f>2850*(1+E5)</f>
        <v>2850</v>
      </c>
      <c r="G217" s="90" t="s">
        <v>71</v>
      </c>
    </row>
    <row r="218" spans="1:7" x14ac:dyDescent="0.25">
      <c r="A218" s="227"/>
      <c r="B218" s="204"/>
      <c r="C218" s="80" t="s">
        <v>20</v>
      </c>
      <c r="D218" s="183"/>
      <c r="E218" s="87" t="s">
        <v>377</v>
      </c>
      <c r="F218" s="98">
        <f>5850*(1+E5)</f>
        <v>5850</v>
      </c>
      <c r="G218" s="90" t="s">
        <v>71</v>
      </c>
    </row>
    <row r="219" spans="1:7" x14ac:dyDescent="0.25">
      <c r="A219" s="227"/>
      <c r="B219" s="204" t="s">
        <v>1</v>
      </c>
      <c r="C219" s="89" t="s">
        <v>18</v>
      </c>
      <c r="D219" s="181" t="s">
        <v>115</v>
      </c>
      <c r="E219" s="87" t="s">
        <v>419</v>
      </c>
      <c r="F219" s="98">
        <f>3300*(1+E5)</f>
        <v>3300</v>
      </c>
      <c r="G219" s="90">
        <f>3800*(1+E5)</f>
        <v>3800</v>
      </c>
    </row>
    <row r="220" spans="1:7" x14ac:dyDescent="0.25">
      <c r="A220" s="227"/>
      <c r="B220" s="204"/>
      <c r="C220" s="89" t="s">
        <v>20</v>
      </c>
      <c r="D220" s="182"/>
      <c r="E220" s="87" t="s">
        <v>420</v>
      </c>
      <c r="F220" s="98">
        <f>6750*(1+E5)</f>
        <v>6750</v>
      </c>
      <c r="G220" s="90">
        <f>7750*(1+E5)</f>
        <v>7750</v>
      </c>
    </row>
    <row r="221" spans="1:7" x14ac:dyDescent="0.25">
      <c r="A221" s="227"/>
      <c r="B221" s="204" t="s">
        <v>8</v>
      </c>
      <c r="C221" s="89" t="s">
        <v>18</v>
      </c>
      <c r="D221" s="182"/>
      <c r="E221" s="87" t="s">
        <v>419</v>
      </c>
      <c r="F221" s="98">
        <f>2950*(1+E5)</f>
        <v>2950</v>
      </c>
      <c r="G221" s="90" t="s">
        <v>71</v>
      </c>
    </row>
    <row r="222" spans="1:7" x14ac:dyDescent="0.25">
      <c r="A222" s="227"/>
      <c r="B222" s="204"/>
      <c r="C222" s="89" t="s">
        <v>20</v>
      </c>
      <c r="D222" s="183"/>
      <c r="E222" s="87" t="s">
        <v>420</v>
      </c>
      <c r="F222" s="98">
        <f>6050*(1+E5)</f>
        <v>6050</v>
      </c>
      <c r="G222" s="90" t="s">
        <v>71</v>
      </c>
    </row>
    <row r="223" spans="1:7" x14ac:dyDescent="0.25">
      <c r="A223" s="227"/>
      <c r="B223" s="204" t="s">
        <v>1</v>
      </c>
      <c r="C223" s="89" t="s">
        <v>18</v>
      </c>
      <c r="D223" s="181" t="s">
        <v>114</v>
      </c>
      <c r="E223" s="87" t="s">
        <v>376</v>
      </c>
      <c r="F223" s="98">
        <f>3350*(1+E5)</f>
        <v>3350</v>
      </c>
      <c r="G223" s="90">
        <f>3850*(1+E5)</f>
        <v>3850</v>
      </c>
    </row>
    <row r="224" spans="1:7" x14ac:dyDescent="0.25">
      <c r="A224" s="227"/>
      <c r="B224" s="204"/>
      <c r="C224" s="89" t="s">
        <v>20</v>
      </c>
      <c r="D224" s="182"/>
      <c r="E224" s="87" t="s">
        <v>378</v>
      </c>
      <c r="F224" s="98">
        <f>6800*(1+E5)</f>
        <v>6800</v>
      </c>
      <c r="G224" s="90">
        <f>7800*(1+E5)</f>
        <v>7800</v>
      </c>
    </row>
    <row r="225" spans="1:7" x14ac:dyDescent="0.25">
      <c r="A225" s="227"/>
      <c r="B225" s="204" t="s">
        <v>8</v>
      </c>
      <c r="C225" s="89" t="s">
        <v>18</v>
      </c>
      <c r="D225" s="182"/>
      <c r="E225" s="87" t="s">
        <v>376</v>
      </c>
      <c r="F225" s="98">
        <f>3000*(1+E5)</f>
        <v>3000</v>
      </c>
      <c r="G225" s="90" t="s">
        <v>71</v>
      </c>
    </row>
    <row r="226" spans="1:7" x14ac:dyDescent="0.25">
      <c r="A226" s="227"/>
      <c r="B226" s="204"/>
      <c r="C226" s="89" t="s">
        <v>20</v>
      </c>
      <c r="D226" s="183"/>
      <c r="E226" s="87" t="s">
        <v>378</v>
      </c>
      <c r="F226" s="98">
        <f>6100*(1+E5)</f>
        <v>6100</v>
      </c>
      <c r="G226" s="90" t="s">
        <v>71</v>
      </c>
    </row>
    <row r="227" spans="1:7" x14ac:dyDescent="0.25">
      <c r="A227" s="227"/>
      <c r="B227" s="204" t="s">
        <v>1</v>
      </c>
      <c r="C227" s="78" t="s">
        <v>18</v>
      </c>
      <c r="D227" s="163" t="s">
        <v>401</v>
      </c>
      <c r="E227" s="87" t="s">
        <v>375</v>
      </c>
      <c r="F227" s="98">
        <f>3600*(1+E5)</f>
        <v>3600</v>
      </c>
      <c r="G227" s="90">
        <f>4150*(1+E5)</f>
        <v>4150</v>
      </c>
    </row>
    <row r="228" spans="1:7" x14ac:dyDescent="0.25">
      <c r="A228" s="227"/>
      <c r="B228" s="204"/>
      <c r="C228" s="78" t="s">
        <v>20</v>
      </c>
      <c r="D228" s="182"/>
      <c r="E228" s="87" t="s">
        <v>377</v>
      </c>
      <c r="F228" s="98">
        <f>7450*(1+E5)</f>
        <v>7450</v>
      </c>
      <c r="G228" s="90">
        <f>8550*(1+E5)</f>
        <v>8550</v>
      </c>
    </row>
    <row r="229" spans="1:7" x14ac:dyDescent="0.25">
      <c r="A229" s="227"/>
      <c r="B229" s="204" t="s">
        <v>8</v>
      </c>
      <c r="C229" s="79" t="s">
        <v>18</v>
      </c>
      <c r="D229" s="182"/>
      <c r="E229" s="87" t="s">
        <v>375</v>
      </c>
      <c r="F229" s="98">
        <f>3250*(1+E5)</f>
        <v>3250</v>
      </c>
      <c r="G229" s="90" t="s">
        <v>71</v>
      </c>
    </row>
    <row r="230" spans="1:7" x14ac:dyDescent="0.25">
      <c r="A230" s="227"/>
      <c r="B230" s="181"/>
      <c r="C230" s="17" t="s">
        <v>20</v>
      </c>
      <c r="D230" s="183"/>
      <c r="E230" s="87" t="s">
        <v>377</v>
      </c>
      <c r="F230" s="98">
        <f>6700*(1+E5)</f>
        <v>6700</v>
      </c>
      <c r="G230" s="90" t="s">
        <v>71</v>
      </c>
    </row>
    <row r="231" spans="1:7" x14ac:dyDescent="0.25">
      <c r="A231" s="228"/>
      <c r="B231" s="204" t="s">
        <v>1</v>
      </c>
      <c r="C231" s="78" t="s">
        <v>18</v>
      </c>
      <c r="D231" s="163" t="s">
        <v>402</v>
      </c>
      <c r="E231" s="87" t="s">
        <v>375</v>
      </c>
      <c r="F231" s="98">
        <f>3700*(1+E5)</f>
        <v>3700</v>
      </c>
      <c r="G231" s="90">
        <f>4200*(1+E5)</f>
        <v>4200</v>
      </c>
    </row>
    <row r="232" spans="1:7" x14ac:dyDescent="0.25">
      <c r="A232" s="228"/>
      <c r="B232" s="204"/>
      <c r="C232" s="78" t="s">
        <v>20</v>
      </c>
      <c r="D232" s="182"/>
      <c r="E232" s="87" t="s">
        <v>377</v>
      </c>
      <c r="F232" s="98">
        <f>7500*(1+E5)</f>
        <v>7500</v>
      </c>
      <c r="G232" s="90">
        <f>8600*(1+E5)</f>
        <v>8600</v>
      </c>
    </row>
    <row r="233" spans="1:7" x14ac:dyDescent="0.25">
      <c r="A233" s="228"/>
      <c r="B233" s="204" t="s">
        <v>8</v>
      </c>
      <c r="C233" s="79" t="s">
        <v>18</v>
      </c>
      <c r="D233" s="182"/>
      <c r="E233" s="87" t="s">
        <v>375</v>
      </c>
      <c r="F233" s="98">
        <f>3300*(1+E5)</f>
        <v>3300</v>
      </c>
      <c r="G233" s="90" t="s">
        <v>71</v>
      </c>
    </row>
    <row r="234" spans="1:7" x14ac:dyDescent="0.25">
      <c r="A234" s="229"/>
      <c r="B234" s="181"/>
      <c r="C234" s="17" t="s">
        <v>20</v>
      </c>
      <c r="D234" s="183"/>
      <c r="E234" s="87" t="s">
        <v>377</v>
      </c>
      <c r="F234" s="98">
        <f>6800*(1+E5)</f>
        <v>6800</v>
      </c>
      <c r="G234" s="90" t="s">
        <v>71</v>
      </c>
    </row>
    <row r="235" spans="1:7" x14ac:dyDescent="0.25">
      <c r="A235" s="206" t="s">
        <v>317</v>
      </c>
      <c r="B235" s="81" t="s">
        <v>1</v>
      </c>
      <c r="C235" s="164" t="s">
        <v>2</v>
      </c>
      <c r="D235" s="191" t="s">
        <v>48</v>
      </c>
      <c r="E235" s="185" t="s">
        <v>379</v>
      </c>
      <c r="F235" s="98">
        <f>3000*(1+E5)</f>
        <v>3000</v>
      </c>
      <c r="G235" s="90">
        <f>3450*(1+E5)</f>
        <v>3450</v>
      </c>
    </row>
    <row r="236" spans="1:7" x14ac:dyDescent="0.25">
      <c r="A236" s="187"/>
      <c r="B236" s="92" t="s">
        <v>8</v>
      </c>
      <c r="C236" s="195"/>
      <c r="D236" s="207"/>
      <c r="E236" s="212"/>
      <c r="F236" s="76">
        <f>2750*(1+E5)</f>
        <v>2750</v>
      </c>
      <c r="G236" s="19" t="s">
        <v>71</v>
      </c>
    </row>
    <row r="237" spans="1:7" x14ac:dyDescent="0.25">
      <c r="A237" s="206" t="s">
        <v>318</v>
      </c>
      <c r="B237" s="81" t="s">
        <v>1</v>
      </c>
      <c r="C237" s="164" t="s">
        <v>2</v>
      </c>
      <c r="D237" s="191" t="s">
        <v>48</v>
      </c>
      <c r="E237" s="212"/>
      <c r="F237" s="98">
        <f>3200*(1+E5)</f>
        <v>3200</v>
      </c>
      <c r="G237" s="90">
        <f>3700*(1+E5)</f>
        <v>3700</v>
      </c>
    </row>
    <row r="238" spans="1:7" x14ac:dyDescent="0.25">
      <c r="A238" s="187"/>
      <c r="B238" s="92" t="s">
        <v>8</v>
      </c>
      <c r="C238" s="195"/>
      <c r="D238" s="207"/>
      <c r="E238" s="212"/>
      <c r="F238" s="76">
        <f>3000*(1+E5)</f>
        <v>3000</v>
      </c>
      <c r="G238" s="19" t="s">
        <v>71</v>
      </c>
    </row>
    <row r="239" spans="1:7" x14ac:dyDescent="0.25">
      <c r="A239" s="206" t="s">
        <v>319</v>
      </c>
      <c r="B239" s="81" t="s">
        <v>1</v>
      </c>
      <c r="C239" s="164" t="s">
        <v>2</v>
      </c>
      <c r="D239" s="191" t="s">
        <v>48</v>
      </c>
      <c r="E239" s="212"/>
      <c r="F239" s="98">
        <f>3500*(1+E5)</f>
        <v>3500</v>
      </c>
      <c r="G239" s="90">
        <f>4000*(1+E5)</f>
        <v>4000</v>
      </c>
    </row>
    <row r="240" spans="1:7" x14ac:dyDescent="0.25">
      <c r="A240" s="187"/>
      <c r="B240" s="92" t="s">
        <v>8</v>
      </c>
      <c r="C240" s="195"/>
      <c r="D240" s="207"/>
      <c r="E240" s="213"/>
      <c r="F240" s="76">
        <f>3200*(1+E5)</f>
        <v>3200</v>
      </c>
      <c r="G240" s="19" t="s">
        <v>71</v>
      </c>
    </row>
    <row r="241" spans="1:7" x14ac:dyDescent="0.25">
      <c r="A241" s="209" t="s">
        <v>107</v>
      </c>
      <c r="B241" s="210"/>
      <c r="C241" s="210"/>
      <c r="D241" s="210"/>
      <c r="E241" s="210"/>
      <c r="F241" s="210"/>
      <c r="G241" s="210"/>
    </row>
    <row r="242" spans="1:7" x14ac:dyDescent="0.25">
      <c r="A242" s="211" t="s">
        <v>320</v>
      </c>
      <c r="B242" s="169" t="s">
        <v>1</v>
      </c>
      <c r="C242" s="74" t="s">
        <v>18</v>
      </c>
      <c r="D242" s="155"/>
      <c r="E242" s="151" t="s">
        <v>380</v>
      </c>
      <c r="F242" s="74">
        <f>3000*(1+E5)</f>
        <v>3000</v>
      </c>
      <c r="G242" s="74">
        <f>3400*(1+E5)</f>
        <v>3400</v>
      </c>
    </row>
    <row r="243" spans="1:7" x14ac:dyDescent="0.25">
      <c r="A243" s="211"/>
      <c r="B243" s="169"/>
      <c r="C243" s="74" t="s">
        <v>20</v>
      </c>
      <c r="D243" s="168"/>
      <c r="E243" s="152"/>
      <c r="F243" s="74">
        <f>5800*(1+E5)</f>
        <v>5800</v>
      </c>
      <c r="G243" s="74">
        <f>6600*(1+E5)</f>
        <v>6600</v>
      </c>
    </row>
    <row r="244" spans="1:7" x14ac:dyDescent="0.25">
      <c r="A244" s="211"/>
      <c r="B244" s="169" t="s">
        <v>8</v>
      </c>
      <c r="C244" s="74" t="s">
        <v>18</v>
      </c>
      <c r="D244" s="168"/>
      <c r="E244" s="152"/>
      <c r="F244" s="74">
        <f>2900*(1+E5)</f>
        <v>2900</v>
      </c>
      <c r="G244" s="74" t="s">
        <v>71</v>
      </c>
    </row>
    <row r="245" spans="1:7" x14ac:dyDescent="0.25">
      <c r="A245" s="211"/>
      <c r="B245" s="169"/>
      <c r="C245" s="74" t="s">
        <v>20</v>
      </c>
      <c r="D245" s="156"/>
      <c r="E245" s="153"/>
      <c r="F245" s="74">
        <f>5200*(1+E5)</f>
        <v>5200</v>
      </c>
      <c r="G245" s="74" t="s">
        <v>71</v>
      </c>
    </row>
    <row r="246" spans="1:7" x14ac:dyDescent="0.25">
      <c r="A246" s="214" t="s">
        <v>321</v>
      </c>
      <c r="B246" s="74" t="s">
        <v>1</v>
      </c>
      <c r="C246" s="74" t="s">
        <v>18</v>
      </c>
      <c r="D246" s="198" t="s">
        <v>82</v>
      </c>
      <c r="E246" s="83" t="s">
        <v>381</v>
      </c>
      <c r="F246" s="74">
        <f>2100*(1+E5)</f>
        <v>2100</v>
      </c>
      <c r="G246" s="74">
        <f>2400*(1+E5)</f>
        <v>2400</v>
      </c>
    </row>
    <row r="247" spans="1:7" x14ac:dyDescent="0.25">
      <c r="A247" s="215"/>
      <c r="B247" s="74" t="s">
        <v>1</v>
      </c>
      <c r="C247" s="74" t="s">
        <v>20</v>
      </c>
      <c r="D247" s="174"/>
      <c r="E247" s="83" t="s">
        <v>383</v>
      </c>
      <c r="F247" s="74">
        <f>3150*(1+E5)</f>
        <v>3150</v>
      </c>
      <c r="G247" s="74">
        <f>3600*(1+E5)</f>
        <v>3600</v>
      </c>
    </row>
    <row r="248" spans="1:7" x14ac:dyDescent="0.25">
      <c r="A248" s="215"/>
      <c r="B248" s="169" t="s">
        <v>8</v>
      </c>
      <c r="C248" s="74" t="s">
        <v>18</v>
      </c>
      <c r="D248" s="174"/>
      <c r="E248" s="83" t="s">
        <v>381</v>
      </c>
      <c r="F248" s="74">
        <f>1900*(1+E5)</f>
        <v>1900</v>
      </c>
      <c r="G248" s="74" t="s">
        <v>71</v>
      </c>
    </row>
    <row r="249" spans="1:7" x14ac:dyDescent="0.25">
      <c r="A249" s="215"/>
      <c r="B249" s="169"/>
      <c r="C249" s="74" t="s">
        <v>20</v>
      </c>
      <c r="D249" s="174"/>
      <c r="E249" s="83" t="s">
        <v>383</v>
      </c>
      <c r="F249" s="74">
        <f>2800*(1+E5)</f>
        <v>2800</v>
      </c>
      <c r="G249" s="74" t="s">
        <v>71</v>
      </c>
    </row>
    <row r="250" spans="1:7" x14ac:dyDescent="0.25">
      <c r="A250" s="216"/>
      <c r="B250" s="169" t="s">
        <v>1</v>
      </c>
      <c r="C250" s="74" t="s">
        <v>18</v>
      </c>
      <c r="D250" s="181" t="s">
        <v>115</v>
      </c>
      <c r="E250" s="83" t="s">
        <v>418</v>
      </c>
      <c r="F250" s="74">
        <f>2200*(1+E5)</f>
        <v>2200</v>
      </c>
      <c r="G250" s="74">
        <f>2500*(1+E5)</f>
        <v>2500</v>
      </c>
    </row>
    <row r="251" spans="1:7" x14ac:dyDescent="0.25">
      <c r="A251" s="216"/>
      <c r="B251" s="218"/>
      <c r="C251" s="74" t="s">
        <v>20</v>
      </c>
      <c r="D251" s="182"/>
      <c r="E251" s="83" t="s">
        <v>421</v>
      </c>
      <c r="F251" s="74">
        <f>3300*(1+E5)</f>
        <v>3300</v>
      </c>
      <c r="G251" s="74">
        <f>3800*(1+E5)</f>
        <v>3800</v>
      </c>
    </row>
    <row r="252" spans="1:7" x14ac:dyDescent="0.25">
      <c r="A252" s="216"/>
      <c r="B252" s="169" t="s">
        <v>8</v>
      </c>
      <c r="C252" s="74" t="s">
        <v>18</v>
      </c>
      <c r="D252" s="182"/>
      <c r="E252" s="83" t="s">
        <v>418</v>
      </c>
      <c r="F252" s="74">
        <f>1950*(1+E5)</f>
        <v>1950</v>
      </c>
      <c r="G252" s="74" t="s">
        <v>71</v>
      </c>
    </row>
    <row r="253" spans="1:7" x14ac:dyDescent="0.25">
      <c r="A253" s="216"/>
      <c r="B253" s="218"/>
      <c r="C253" s="74" t="s">
        <v>20</v>
      </c>
      <c r="D253" s="183"/>
      <c r="E253" s="83" t="s">
        <v>421</v>
      </c>
      <c r="F253" s="74">
        <f>2950*(1+E5)</f>
        <v>2950</v>
      </c>
      <c r="G253" s="74" t="s">
        <v>71</v>
      </c>
    </row>
    <row r="254" spans="1:7" x14ac:dyDescent="0.25">
      <c r="A254" s="216"/>
      <c r="B254" s="169" t="s">
        <v>1</v>
      </c>
      <c r="C254" s="74" t="s">
        <v>18</v>
      </c>
      <c r="D254" s="181" t="s">
        <v>114</v>
      </c>
      <c r="E254" s="83" t="s">
        <v>382</v>
      </c>
      <c r="F254" s="74">
        <f>2300*(1+E5)</f>
        <v>2300</v>
      </c>
      <c r="G254" s="74">
        <f>2600*(1+E5)</f>
        <v>2600</v>
      </c>
    </row>
    <row r="255" spans="1:7" x14ac:dyDescent="0.25">
      <c r="A255" s="216"/>
      <c r="B255" s="218"/>
      <c r="C255" s="74" t="s">
        <v>20</v>
      </c>
      <c r="D255" s="182"/>
      <c r="E255" s="83" t="s">
        <v>384</v>
      </c>
      <c r="F255" s="74">
        <f>3400*(1+E5)</f>
        <v>3400</v>
      </c>
      <c r="G255" s="74">
        <f>3900*(1+E5)</f>
        <v>3900</v>
      </c>
    </row>
    <row r="256" spans="1:7" x14ac:dyDescent="0.25">
      <c r="A256" s="216"/>
      <c r="B256" s="169" t="s">
        <v>8</v>
      </c>
      <c r="C256" s="74" t="s">
        <v>18</v>
      </c>
      <c r="D256" s="182"/>
      <c r="E256" s="83" t="s">
        <v>382</v>
      </c>
      <c r="F256" s="74">
        <f>2000*(1+E5)</f>
        <v>2000</v>
      </c>
      <c r="G256" s="74" t="s">
        <v>71</v>
      </c>
    </row>
    <row r="257" spans="1:7" x14ac:dyDescent="0.25">
      <c r="A257" s="216"/>
      <c r="B257" s="218"/>
      <c r="C257" s="74" t="s">
        <v>20</v>
      </c>
      <c r="D257" s="183"/>
      <c r="E257" s="83" t="s">
        <v>384</v>
      </c>
      <c r="F257" s="74">
        <f>3000*(1+E5)</f>
        <v>3000</v>
      </c>
      <c r="G257" s="74" t="s">
        <v>71</v>
      </c>
    </row>
    <row r="258" spans="1:7" x14ac:dyDescent="0.25">
      <c r="A258" s="216"/>
      <c r="B258" s="169" t="s">
        <v>1</v>
      </c>
      <c r="C258" s="74" t="s">
        <v>18</v>
      </c>
      <c r="D258" s="198" t="s">
        <v>401</v>
      </c>
      <c r="E258" s="83" t="s">
        <v>381</v>
      </c>
      <c r="F258" s="74">
        <f>2500*(1+E5)</f>
        <v>2500</v>
      </c>
      <c r="G258" s="74">
        <f>2900*(1+E5)</f>
        <v>2900</v>
      </c>
    </row>
    <row r="259" spans="1:7" x14ac:dyDescent="0.25">
      <c r="A259" s="216"/>
      <c r="B259" s="218"/>
      <c r="C259" s="74" t="s">
        <v>20</v>
      </c>
      <c r="D259" s="198"/>
      <c r="E259" s="83" t="s">
        <v>383</v>
      </c>
      <c r="F259" s="74">
        <f>3750*(1+E5)</f>
        <v>3750</v>
      </c>
      <c r="G259" s="74">
        <f>4300*(1+E5)</f>
        <v>4300</v>
      </c>
    </row>
    <row r="260" spans="1:7" x14ac:dyDescent="0.25">
      <c r="A260" s="216"/>
      <c r="B260" s="169" t="s">
        <v>8</v>
      </c>
      <c r="C260" s="74" t="s">
        <v>18</v>
      </c>
      <c r="D260" s="198"/>
      <c r="E260" s="83" t="s">
        <v>381</v>
      </c>
      <c r="F260" s="74">
        <f>2200*(1+E5)</f>
        <v>2200</v>
      </c>
      <c r="G260" s="74" t="s">
        <v>71</v>
      </c>
    </row>
    <row r="261" spans="1:7" x14ac:dyDescent="0.25">
      <c r="A261" s="216"/>
      <c r="B261" s="218"/>
      <c r="C261" s="74" t="s">
        <v>20</v>
      </c>
      <c r="D261" s="198"/>
      <c r="E261" s="83" t="s">
        <v>383</v>
      </c>
      <c r="F261" s="74">
        <f>3500*(1+E5)</f>
        <v>3500</v>
      </c>
      <c r="G261" s="74" t="s">
        <v>71</v>
      </c>
    </row>
    <row r="262" spans="1:7" x14ac:dyDescent="0.25">
      <c r="A262" s="216"/>
      <c r="B262" s="169" t="s">
        <v>1</v>
      </c>
      <c r="C262" s="74" t="s">
        <v>18</v>
      </c>
      <c r="D262" s="198" t="s">
        <v>402</v>
      </c>
      <c r="E262" s="83" t="s">
        <v>381</v>
      </c>
      <c r="F262" s="74">
        <f>2500*(1+E5)</f>
        <v>2500</v>
      </c>
      <c r="G262" s="74">
        <f>2900*(1+E5)</f>
        <v>2900</v>
      </c>
    </row>
    <row r="263" spans="1:7" x14ac:dyDescent="0.25">
      <c r="A263" s="216"/>
      <c r="B263" s="218"/>
      <c r="C263" s="74" t="s">
        <v>20</v>
      </c>
      <c r="D263" s="198"/>
      <c r="E263" s="83" t="s">
        <v>383</v>
      </c>
      <c r="F263" s="74">
        <f>3800*(1+E5)</f>
        <v>3800</v>
      </c>
      <c r="G263" s="74">
        <f>4400*(1+E5)</f>
        <v>4400</v>
      </c>
    </row>
    <row r="264" spans="1:7" x14ac:dyDescent="0.25">
      <c r="A264" s="216"/>
      <c r="B264" s="169" t="s">
        <v>8</v>
      </c>
      <c r="C264" s="74" t="s">
        <v>18</v>
      </c>
      <c r="D264" s="198"/>
      <c r="E264" s="83" t="s">
        <v>381</v>
      </c>
      <c r="F264" s="74">
        <f>2250*(1+E5)</f>
        <v>2250</v>
      </c>
      <c r="G264" s="74" t="s">
        <v>71</v>
      </c>
    </row>
    <row r="265" spans="1:7" x14ac:dyDescent="0.25">
      <c r="A265" s="217"/>
      <c r="B265" s="218"/>
      <c r="C265" s="74" t="s">
        <v>20</v>
      </c>
      <c r="D265" s="198"/>
      <c r="E265" s="83" t="s">
        <v>383</v>
      </c>
      <c r="F265" s="74">
        <f>3550*(1+E5)</f>
        <v>3550</v>
      </c>
      <c r="G265" s="74" t="s">
        <v>71</v>
      </c>
    </row>
    <row r="266" spans="1:7" x14ac:dyDescent="0.25">
      <c r="A266" s="211" t="s">
        <v>305</v>
      </c>
      <c r="B266" s="74" t="s">
        <v>1</v>
      </c>
      <c r="C266" s="169"/>
      <c r="D266" s="155" t="s">
        <v>48</v>
      </c>
      <c r="E266" s="151" t="s">
        <v>269</v>
      </c>
      <c r="F266" s="74">
        <f>650*(1+E5)</f>
        <v>650</v>
      </c>
      <c r="G266" s="74">
        <f>750*(1+E5)</f>
        <v>750</v>
      </c>
    </row>
    <row r="267" spans="1:7" x14ac:dyDescent="0.25">
      <c r="A267" s="211"/>
      <c r="B267" s="74" t="s">
        <v>8</v>
      </c>
      <c r="C267" s="169"/>
      <c r="D267" s="156"/>
      <c r="E267" s="153"/>
      <c r="F267" s="67">
        <f>600*(1+E5)</f>
        <v>600</v>
      </c>
      <c r="G267" s="74" t="s">
        <v>71</v>
      </c>
    </row>
    <row r="268" spans="1:7" x14ac:dyDescent="0.25">
      <c r="A268" s="258" t="s">
        <v>175</v>
      </c>
      <c r="B268" s="74" t="s">
        <v>1</v>
      </c>
      <c r="C268" s="195" t="s">
        <v>2</v>
      </c>
      <c r="D268" s="155" t="s">
        <v>48</v>
      </c>
      <c r="E268" s="151" t="s">
        <v>7</v>
      </c>
      <c r="F268" s="35">
        <f>6000*(1+E5)</f>
        <v>6000</v>
      </c>
      <c r="G268" s="90">
        <f>6900*(1+E5)</f>
        <v>6900</v>
      </c>
    </row>
    <row r="269" spans="1:7" x14ac:dyDescent="0.25">
      <c r="A269" s="259"/>
      <c r="B269" s="74" t="s">
        <v>8</v>
      </c>
      <c r="C269" s="156"/>
      <c r="D269" s="156"/>
      <c r="E269" s="152"/>
      <c r="F269" s="35">
        <f>5500*(1+E5)</f>
        <v>5500</v>
      </c>
      <c r="G269" s="90" t="s">
        <v>71</v>
      </c>
    </row>
    <row r="270" spans="1:7" x14ac:dyDescent="0.25">
      <c r="A270" s="258" t="s">
        <v>176</v>
      </c>
      <c r="B270" s="74" t="s">
        <v>1</v>
      </c>
      <c r="C270" s="195"/>
      <c r="D270" s="155" t="s">
        <v>48</v>
      </c>
      <c r="E270" s="152"/>
      <c r="F270" s="35">
        <f>1600*(1+E5)</f>
        <v>1600</v>
      </c>
      <c r="G270" s="90">
        <f>1850*(1+E5)</f>
        <v>1850</v>
      </c>
    </row>
    <row r="271" spans="1:7" x14ac:dyDescent="0.25">
      <c r="A271" s="259"/>
      <c r="B271" s="74" t="s">
        <v>8</v>
      </c>
      <c r="C271" s="156"/>
      <c r="D271" s="156"/>
      <c r="E271" s="152"/>
      <c r="F271" s="35">
        <f>1500*(1+E5)</f>
        <v>1500</v>
      </c>
      <c r="G271" s="90" t="s">
        <v>71</v>
      </c>
    </row>
    <row r="272" spans="1:7" x14ac:dyDescent="0.25">
      <c r="A272" s="258" t="s">
        <v>177</v>
      </c>
      <c r="B272" s="74" t="s">
        <v>1</v>
      </c>
      <c r="C272" s="195"/>
      <c r="D272" s="155" t="s">
        <v>48</v>
      </c>
      <c r="E272" s="152"/>
      <c r="F272" s="35">
        <f>1600*(1+E5)</f>
        <v>1600</v>
      </c>
      <c r="G272" s="90">
        <f>1850*(1+E5)</f>
        <v>1850</v>
      </c>
    </row>
    <row r="273" spans="1:7" x14ac:dyDescent="0.25">
      <c r="A273" s="259"/>
      <c r="B273" s="74" t="s">
        <v>8</v>
      </c>
      <c r="C273" s="156"/>
      <c r="D273" s="156"/>
      <c r="E273" s="152"/>
      <c r="F273" s="35">
        <f>1500*(1+E5)</f>
        <v>1500</v>
      </c>
      <c r="G273" s="90" t="s">
        <v>71</v>
      </c>
    </row>
    <row r="274" spans="1:7" x14ac:dyDescent="0.25">
      <c r="A274" s="258" t="s">
        <v>322</v>
      </c>
      <c r="B274" s="74" t="s">
        <v>1</v>
      </c>
      <c r="C274" s="195"/>
      <c r="D274" s="155" t="s">
        <v>48</v>
      </c>
      <c r="E274" s="152"/>
      <c r="F274" s="35">
        <f>800*(1+E5)</f>
        <v>800</v>
      </c>
      <c r="G274" s="90">
        <f>900*(1+E5)</f>
        <v>900</v>
      </c>
    </row>
    <row r="275" spans="1:7" x14ac:dyDescent="0.25">
      <c r="A275" s="259"/>
      <c r="B275" s="74" t="s">
        <v>8</v>
      </c>
      <c r="C275" s="156"/>
      <c r="D275" s="156"/>
      <c r="E275" s="152"/>
      <c r="F275" s="35">
        <f>700*(1+E5)</f>
        <v>700</v>
      </c>
      <c r="G275" s="90" t="s">
        <v>71</v>
      </c>
    </row>
    <row r="276" spans="1:7" x14ac:dyDescent="0.25">
      <c r="A276" s="97" t="s">
        <v>178</v>
      </c>
      <c r="B276" s="74" t="s">
        <v>8</v>
      </c>
      <c r="C276" s="81"/>
      <c r="D276" s="81" t="s">
        <v>48</v>
      </c>
      <c r="E276" s="153"/>
      <c r="F276" s="35">
        <f>2300*(1+E5)</f>
        <v>2300</v>
      </c>
      <c r="G276" s="90" t="s">
        <v>71</v>
      </c>
    </row>
    <row r="277" spans="1:7" x14ac:dyDescent="0.25">
      <c r="A277" s="97"/>
      <c r="B277" s="74"/>
      <c r="C277" s="81"/>
      <c r="D277" s="81"/>
      <c r="E277" s="83"/>
      <c r="F277" s="35"/>
      <c r="G277" s="90"/>
    </row>
    <row r="278" spans="1:7" ht="27.6" x14ac:dyDescent="0.25">
      <c r="A278" s="21" t="s">
        <v>22</v>
      </c>
      <c r="B278" s="81" t="s">
        <v>23</v>
      </c>
      <c r="C278" s="81" t="s">
        <v>24</v>
      </c>
      <c r="D278" s="81" t="s">
        <v>25</v>
      </c>
      <c r="E278" s="6" t="s">
        <v>26</v>
      </c>
      <c r="F278" s="6" t="s">
        <v>124</v>
      </c>
      <c r="G278" s="94" t="s">
        <v>113</v>
      </c>
    </row>
    <row r="279" spans="1:7" ht="17.399999999999999" x14ac:dyDescent="0.25">
      <c r="A279" s="223" t="s">
        <v>106</v>
      </c>
      <c r="B279" s="223"/>
      <c r="C279" s="223"/>
      <c r="D279" s="223"/>
      <c r="E279" s="223"/>
      <c r="F279" s="223"/>
      <c r="G279" s="223"/>
    </row>
    <row r="280" spans="1:7" x14ac:dyDescent="0.25">
      <c r="A280" s="226" t="s">
        <v>12</v>
      </c>
      <c r="B280" s="170" t="s">
        <v>1</v>
      </c>
      <c r="C280" s="95" t="s">
        <v>18</v>
      </c>
      <c r="D280" s="208" t="s">
        <v>48</v>
      </c>
      <c r="E280" s="185" t="s">
        <v>423</v>
      </c>
      <c r="F280" s="77">
        <f>2600*(1+E5)</f>
        <v>2600</v>
      </c>
      <c r="G280" s="7">
        <f>3000*(1+E5)</f>
        <v>3000</v>
      </c>
    </row>
    <row r="281" spans="1:7" x14ac:dyDescent="0.25">
      <c r="A281" s="227"/>
      <c r="B281" s="208"/>
      <c r="C281" s="18" t="s">
        <v>10</v>
      </c>
      <c r="D281" s="182"/>
      <c r="E281" s="186"/>
      <c r="F281" s="98">
        <f>3100*(1+E5)</f>
        <v>3100</v>
      </c>
      <c r="G281" s="90">
        <f>3550*(1+E5)</f>
        <v>3550</v>
      </c>
    </row>
    <row r="282" spans="1:7" x14ac:dyDescent="0.25">
      <c r="A282" s="227"/>
      <c r="B282" s="208"/>
      <c r="C282" s="88" t="s">
        <v>2</v>
      </c>
      <c r="D282" s="183"/>
      <c r="E282" s="89" t="s">
        <v>424</v>
      </c>
      <c r="F282" s="98">
        <f>4800*(1+E5)</f>
        <v>4800</v>
      </c>
      <c r="G282" s="90">
        <f>5500*(1+E5)</f>
        <v>5500</v>
      </c>
    </row>
    <row r="283" spans="1:7" x14ac:dyDescent="0.25">
      <c r="A283" s="227"/>
      <c r="B283" s="208"/>
      <c r="C283" s="95" t="s">
        <v>18</v>
      </c>
      <c r="D283" s="181" t="s">
        <v>400</v>
      </c>
      <c r="E283" s="184" t="s">
        <v>425</v>
      </c>
      <c r="F283" s="98">
        <f>2900*(1+E5)</f>
        <v>2900</v>
      </c>
      <c r="G283" s="90">
        <f>3300*(1+E5)</f>
        <v>3300</v>
      </c>
    </row>
    <row r="284" spans="1:7" x14ac:dyDescent="0.25">
      <c r="A284" s="227"/>
      <c r="B284" s="208"/>
      <c r="C284" s="18" t="s">
        <v>10</v>
      </c>
      <c r="D284" s="182"/>
      <c r="E284" s="159"/>
      <c r="F284" s="98">
        <f>3400*(1+E5)</f>
        <v>3400</v>
      </c>
      <c r="G284" s="90">
        <f>3900*(1+E5)</f>
        <v>3900</v>
      </c>
    </row>
    <row r="285" spans="1:7" ht="27.6" x14ac:dyDescent="0.25">
      <c r="A285" s="227"/>
      <c r="B285" s="208"/>
      <c r="C285" s="88" t="s">
        <v>2</v>
      </c>
      <c r="D285" s="183"/>
      <c r="E285" s="54" t="s">
        <v>426</v>
      </c>
      <c r="F285" s="98">
        <f>5100*(1+E5)</f>
        <v>5100</v>
      </c>
      <c r="G285" s="90">
        <f>5900*(1+E5)</f>
        <v>5900</v>
      </c>
    </row>
    <row r="286" spans="1:7" x14ac:dyDescent="0.25">
      <c r="A286" s="227"/>
      <c r="B286" s="208"/>
      <c r="C286" s="95" t="s">
        <v>18</v>
      </c>
      <c r="D286" s="181" t="s">
        <v>299</v>
      </c>
      <c r="E286" s="184" t="s">
        <v>427</v>
      </c>
      <c r="F286" s="98">
        <f>3000*(1+E5)</f>
        <v>3000</v>
      </c>
      <c r="G286" s="90">
        <f>3400*(1+E5)</f>
        <v>3400</v>
      </c>
    </row>
    <row r="287" spans="1:7" x14ac:dyDescent="0.25">
      <c r="A287" s="227"/>
      <c r="B287" s="208"/>
      <c r="C287" s="18" t="s">
        <v>10</v>
      </c>
      <c r="D287" s="182"/>
      <c r="E287" s="159"/>
      <c r="F287" s="98">
        <f>3700*(1+E5)</f>
        <v>3700</v>
      </c>
      <c r="G287" s="90">
        <f>4300*(1+E5)</f>
        <v>4300</v>
      </c>
    </row>
    <row r="288" spans="1:7" ht="27.6" x14ac:dyDescent="0.25">
      <c r="A288" s="227"/>
      <c r="B288" s="208"/>
      <c r="C288" s="88" t="s">
        <v>2</v>
      </c>
      <c r="D288" s="183"/>
      <c r="E288" s="54" t="s">
        <v>429</v>
      </c>
      <c r="F288" s="98">
        <f>5200*(1+E5)</f>
        <v>5200</v>
      </c>
      <c r="G288" s="90">
        <f>6000*(1+E5)</f>
        <v>6000</v>
      </c>
    </row>
    <row r="289" spans="1:7" x14ac:dyDescent="0.25">
      <c r="A289" s="227"/>
      <c r="B289" s="208"/>
      <c r="C289" s="95" t="s">
        <v>18</v>
      </c>
      <c r="D289" s="181" t="s">
        <v>401</v>
      </c>
      <c r="E289" s="184" t="s">
        <v>428</v>
      </c>
      <c r="F289" s="98">
        <f>3500*(1+E5)</f>
        <v>3500</v>
      </c>
      <c r="G289" s="90">
        <f>4000*(1+E5)</f>
        <v>4000</v>
      </c>
    </row>
    <row r="290" spans="1:7" x14ac:dyDescent="0.25">
      <c r="A290" s="227"/>
      <c r="B290" s="208"/>
      <c r="C290" s="18" t="s">
        <v>10</v>
      </c>
      <c r="D290" s="182"/>
      <c r="E290" s="159"/>
      <c r="F290" s="98">
        <f>4200*(1+E5)</f>
        <v>4200</v>
      </c>
      <c r="G290" s="90">
        <f>4800*(1+E5)</f>
        <v>4800</v>
      </c>
    </row>
    <row r="291" spans="1:7" ht="27.6" x14ac:dyDescent="0.25">
      <c r="A291" s="227"/>
      <c r="B291" s="208"/>
      <c r="C291" s="88" t="s">
        <v>2</v>
      </c>
      <c r="D291" s="183"/>
      <c r="E291" s="54" t="s">
        <v>430</v>
      </c>
      <c r="F291" s="98">
        <f>6500*(1+E5)</f>
        <v>6500</v>
      </c>
      <c r="G291" s="90">
        <f>7500*(1+E5)</f>
        <v>7500</v>
      </c>
    </row>
    <row r="292" spans="1:7" x14ac:dyDescent="0.25">
      <c r="A292" s="228"/>
      <c r="B292" s="171"/>
      <c r="C292" s="95" t="s">
        <v>18</v>
      </c>
      <c r="D292" s="181" t="s">
        <v>402</v>
      </c>
      <c r="E292" s="184" t="s">
        <v>428</v>
      </c>
      <c r="F292" s="98">
        <f>3600*(1+E5)</f>
        <v>3600</v>
      </c>
      <c r="G292" s="90">
        <f>4100*(1+E5)</f>
        <v>4100</v>
      </c>
    </row>
    <row r="293" spans="1:7" x14ac:dyDescent="0.25">
      <c r="A293" s="228"/>
      <c r="B293" s="171"/>
      <c r="C293" s="18" t="s">
        <v>10</v>
      </c>
      <c r="D293" s="182"/>
      <c r="E293" s="159"/>
      <c r="F293" s="98">
        <f>4300*(1+E5)</f>
        <v>4300</v>
      </c>
      <c r="G293" s="90">
        <f>4900*(1+E5)</f>
        <v>4900</v>
      </c>
    </row>
    <row r="294" spans="1:7" ht="27.6" x14ac:dyDescent="0.25">
      <c r="A294" s="229"/>
      <c r="B294" s="171"/>
      <c r="C294" s="88" t="s">
        <v>2</v>
      </c>
      <c r="D294" s="183"/>
      <c r="E294" s="54" t="s">
        <v>430</v>
      </c>
      <c r="F294" s="98">
        <f>6600*(1+E5)</f>
        <v>6600</v>
      </c>
      <c r="G294" s="90">
        <f>7600*(1+E5)</f>
        <v>7600</v>
      </c>
    </row>
    <row r="295" spans="1:7" x14ac:dyDescent="0.25">
      <c r="A295" s="187" t="s">
        <v>12</v>
      </c>
      <c r="B295" s="164" t="s">
        <v>8</v>
      </c>
      <c r="C295" s="14" t="s">
        <v>18</v>
      </c>
      <c r="D295" s="181" t="s">
        <v>5</v>
      </c>
      <c r="E295" s="185" t="s">
        <v>423</v>
      </c>
      <c r="F295" s="98">
        <f>2350*(1+E5)</f>
        <v>2350</v>
      </c>
      <c r="G295" s="90" t="s">
        <v>71</v>
      </c>
    </row>
    <row r="296" spans="1:7" x14ac:dyDescent="0.25">
      <c r="A296" s="188"/>
      <c r="B296" s="164"/>
      <c r="C296" s="18" t="s">
        <v>10</v>
      </c>
      <c r="D296" s="182"/>
      <c r="E296" s="186"/>
      <c r="F296" s="98">
        <f>2800*(1+E5)</f>
        <v>2800</v>
      </c>
      <c r="G296" s="90" t="s">
        <v>71</v>
      </c>
    </row>
    <row r="297" spans="1:7" x14ac:dyDescent="0.25">
      <c r="A297" s="188"/>
      <c r="B297" s="164"/>
      <c r="C297" s="13" t="s">
        <v>123</v>
      </c>
      <c r="D297" s="183"/>
      <c r="E297" s="89" t="s">
        <v>424</v>
      </c>
      <c r="F297" s="98">
        <f>4400*(1+E5)</f>
        <v>4400</v>
      </c>
      <c r="G297" s="90" t="s">
        <v>71</v>
      </c>
    </row>
    <row r="298" spans="1:7" x14ac:dyDescent="0.25">
      <c r="A298" s="188"/>
      <c r="B298" s="164"/>
      <c r="C298" s="14" t="s">
        <v>18</v>
      </c>
      <c r="D298" s="181" t="s">
        <v>4</v>
      </c>
      <c r="E298" s="184" t="s">
        <v>425</v>
      </c>
      <c r="F298" s="98">
        <f>2700*(1+E5)</f>
        <v>2700</v>
      </c>
      <c r="G298" s="90" t="s">
        <v>71</v>
      </c>
    </row>
    <row r="299" spans="1:7" x14ac:dyDescent="0.25">
      <c r="A299" s="188"/>
      <c r="B299" s="164"/>
      <c r="C299" s="18" t="s">
        <v>10</v>
      </c>
      <c r="D299" s="182"/>
      <c r="E299" s="159"/>
      <c r="F299" s="98">
        <f>3100*(1+E5)</f>
        <v>3100</v>
      </c>
      <c r="G299" s="90" t="s">
        <v>71</v>
      </c>
    </row>
    <row r="300" spans="1:7" ht="27.6" x14ac:dyDescent="0.25">
      <c r="A300" s="188"/>
      <c r="B300" s="164"/>
      <c r="C300" s="13" t="s">
        <v>2</v>
      </c>
      <c r="D300" s="183"/>
      <c r="E300" s="54" t="s">
        <v>426</v>
      </c>
      <c r="F300" s="98">
        <f>4700*(1+E5)</f>
        <v>4700</v>
      </c>
      <c r="G300" s="90" t="s">
        <v>71</v>
      </c>
    </row>
    <row r="301" spans="1:7" x14ac:dyDescent="0.25">
      <c r="A301" s="188"/>
      <c r="B301" s="164"/>
      <c r="C301" s="14" t="s">
        <v>18</v>
      </c>
      <c r="D301" s="181" t="s">
        <v>299</v>
      </c>
      <c r="E301" s="184" t="s">
        <v>427</v>
      </c>
      <c r="F301" s="98">
        <f>2800*(1+E5)</f>
        <v>2800</v>
      </c>
      <c r="G301" s="90" t="s">
        <v>71</v>
      </c>
    </row>
    <row r="302" spans="1:7" x14ac:dyDescent="0.25">
      <c r="A302" s="188"/>
      <c r="B302" s="164"/>
      <c r="C302" s="18" t="s">
        <v>10</v>
      </c>
      <c r="D302" s="182"/>
      <c r="E302" s="159"/>
      <c r="F302" s="98">
        <f>3500*(1+E5)</f>
        <v>3500</v>
      </c>
      <c r="G302" s="90" t="s">
        <v>71</v>
      </c>
    </row>
    <row r="303" spans="1:7" ht="27.6" x14ac:dyDescent="0.25">
      <c r="A303" s="188"/>
      <c r="B303" s="164"/>
      <c r="C303" s="13" t="s">
        <v>2</v>
      </c>
      <c r="D303" s="183"/>
      <c r="E303" s="54" t="s">
        <v>429</v>
      </c>
      <c r="F303" s="98">
        <f>4800*(1+E5)</f>
        <v>4800</v>
      </c>
      <c r="G303" s="90" t="s">
        <v>71</v>
      </c>
    </row>
    <row r="304" spans="1:7" x14ac:dyDescent="0.25">
      <c r="A304" s="188"/>
      <c r="B304" s="164"/>
      <c r="C304" s="14" t="s">
        <v>18</v>
      </c>
      <c r="D304" s="181" t="s">
        <v>401</v>
      </c>
      <c r="E304" s="184" t="s">
        <v>428</v>
      </c>
      <c r="F304" s="98">
        <f>3200*(1+E5)</f>
        <v>3200</v>
      </c>
      <c r="G304" s="90" t="s">
        <v>71</v>
      </c>
    </row>
    <row r="305" spans="1:7" x14ac:dyDescent="0.25">
      <c r="A305" s="188"/>
      <c r="B305" s="164"/>
      <c r="C305" s="18" t="s">
        <v>10</v>
      </c>
      <c r="D305" s="182"/>
      <c r="E305" s="159"/>
      <c r="F305" s="98">
        <f>3800*(1+E5)</f>
        <v>3800</v>
      </c>
      <c r="G305" s="90" t="s">
        <v>71</v>
      </c>
    </row>
    <row r="306" spans="1:7" ht="27.6" x14ac:dyDescent="0.25">
      <c r="A306" s="188"/>
      <c r="B306" s="164"/>
      <c r="C306" s="13" t="s">
        <v>2</v>
      </c>
      <c r="D306" s="183"/>
      <c r="E306" s="54" t="s">
        <v>430</v>
      </c>
      <c r="F306" s="98">
        <f>5900*(1+E5)</f>
        <v>5900</v>
      </c>
      <c r="G306" s="90" t="s">
        <v>71</v>
      </c>
    </row>
    <row r="307" spans="1:7" x14ac:dyDescent="0.25">
      <c r="A307" s="189"/>
      <c r="B307" s="165"/>
      <c r="C307" s="14" t="s">
        <v>18</v>
      </c>
      <c r="D307" s="181" t="s">
        <v>402</v>
      </c>
      <c r="E307" s="184" t="s">
        <v>428</v>
      </c>
      <c r="F307" s="98">
        <f>3300*(1+E5)</f>
        <v>3300</v>
      </c>
      <c r="G307" s="90" t="s">
        <v>71</v>
      </c>
    </row>
    <row r="308" spans="1:7" x14ac:dyDescent="0.25">
      <c r="A308" s="189"/>
      <c r="B308" s="165"/>
      <c r="C308" s="18" t="s">
        <v>10</v>
      </c>
      <c r="D308" s="182"/>
      <c r="E308" s="159"/>
      <c r="F308" s="98">
        <f>3900*(1+E5)</f>
        <v>3900</v>
      </c>
      <c r="G308" s="90" t="s">
        <v>71</v>
      </c>
    </row>
    <row r="309" spans="1:7" ht="27.6" x14ac:dyDescent="0.25">
      <c r="A309" s="190"/>
      <c r="B309" s="165"/>
      <c r="C309" s="13" t="s">
        <v>2</v>
      </c>
      <c r="D309" s="183"/>
      <c r="E309" s="54" t="s">
        <v>430</v>
      </c>
      <c r="F309" s="98">
        <f>6000*(1+E5)</f>
        <v>6000</v>
      </c>
      <c r="G309" s="90" t="s">
        <v>71</v>
      </c>
    </row>
    <row r="310" spans="1:7" x14ac:dyDescent="0.25">
      <c r="A310" s="193" t="s">
        <v>293</v>
      </c>
      <c r="B310" s="81" t="s">
        <v>1</v>
      </c>
      <c r="C310" s="191" t="s">
        <v>141</v>
      </c>
      <c r="D310" s="164" t="s">
        <v>48</v>
      </c>
      <c r="E310" s="177" t="s">
        <v>431</v>
      </c>
      <c r="F310" s="98">
        <f>2600*(1+E5)</f>
        <v>2600</v>
      </c>
      <c r="G310" s="90">
        <f>3000*(1+E5)</f>
        <v>3000</v>
      </c>
    </row>
    <row r="311" spans="1:7" x14ac:dyDescent="0.25">
      <c r="A311" s="194"/>
      <c r="B311" s="81" t="s">
        <v>8</v>
      </c>
      <c r="C311" s="192"/>
      <c r="D311" s="164"/>
      <c r="E311" s="178"/>
      <c r="F311" s="98">
        <f>2400*(1+E5)</f>
        <v>2400</v>
      </c>
      <c r="G311" s="90" t="s">
        <v>71</v>
      </c>
    </row>
    <row r="312" spans="1:7" x14ac:dyDescent="0.25">
      <c r="A312" s="187" t="s">
        <v>301</v>
      </c>
      <c r="B312" s="164" t="s">
        <v>1</v>
      </c>
      <c r="C312" s="14" t="s">
        <v>18</v>
      </c>
      <c r="D312" s="208" t="s">
        <v>5</v>
      </c>
      <c r="E312" s="185" t="s">
        <v>423</v>
      </c>
      <c r="F312" s="77">
        <f>3000*(1+E5)</f>
        <v>3000</v>
      </c>
      <c r="G312" s="7">
        <f>3400*(1+E5)</f>
        <v>3400</v>
      </c>
    </row>
    <row r="313" spans="1:7" x14ac:dyDescent="0.25">
      <c r="A313" s="188"/>
      <c r="B313" s="164"/>
      <c r="C313" s="18" t="s">
        <v>10</v>
      </c>
      <c r="D313" s="182"/>
      <c r="E313" s="186"/>
      <c r="F313" s="98">
        <f>3600*(1+E5)</f>
        <v>3600</v>
      </c>
      <c r="G313" s="90">
        <f>4100*(1+E5)</f>
        <v>4100</v>
      </c>
    </row>
    <row r="314" spans="1:7" x14ac:dyDescent="0.25">
      <c r="A314" s="188"/>
      <c r="B314" s="164"/>
      <c r="C314" s="13" t="s">
        <v>2</v>
      </c>
      <c r="D314" s="183"/>
      <c r="E314" s="89" t="s">
        <v>424</v>
      </c>
      <c r="F314" s="98">
        <f>5600*(1+E5)</f>
        <v>5600</v>
      </c>
      <c r="G314" s="90">
        <f>6300*(1+E5)</f>
        <v>6300</v>
      </c>
    </row>
    <row r="315" spans="1:7" x14ac:dyDescent="0.25">
      <c r="A315" s="188"/>
      <c r="B315" s="164"/>
      <c r="C315" s="14" t="s">
        <v>18</v>
      </c>
      <c r="D315" s="181" t="s">
        <v>4</v>
      </c>
      <c r="E315" s="184" t="s">
        <v>425</v>
      </c>
      <c r="F315" s="98">
        <f>3400*(1+E5)</f>
        <v>3400</v>
      </c>
      <c r="G315" s="90">
        <f>3800*(1+E5)</f>
        <v>3800</v>
      </c>
    </row>
    <row r="316" spans="1:7" x14ac:dyDescent="0.25">
      <c r="A316" s="188"/>
      <c r="B316" s="164"/>
      <c r="C316" s="18" t="s">
        <v>10</v>
      </c>
      <c r="D316" s="182"/>
      <c r="E316" s="159"/>
      <c r="F316" s="98">
        <f>4000*(1+E5)</f>
        <v>4000</v>
      </c>
      <c r="G316" s="90">
        <f>4500*(1+E5)</f>
        <v>4500</v>
      </c>
    </row>
    <row r="317" spans="1:7" ht="27.6" x14ac:dyDescent="0.25">
      <c r="A317" s="188"/>
      <c r="B317" s="164"/>
      <c r="C317" s="13" t="s">
        <v>2</v>
      </c>
      <c r="D317" s="183"/>
      <c r="E317" s="54" t="s">
        <v>426</v>
      </c>
      <c r="F317" s="98">
        <f>5900*(1+E5)</f>
        <v>5900</v>
      </c>
      <c r="G317" s="90">
        <f>6800*(1+E5)</f>
        <v>6800</v>
      </c>
    </row>
    <row r="318" spans="1:7" x14ac:dyDescent="0.25">
      <c r="A318" s="188"/>
      <c r="B318" s="164"/>
      <c r="C318" s="14" t="s">
        <v>18</v>
      </c>
      <c r="D318" s="181" t="s">
        <v>299</v>
      </c>
      <c r="E318" s="184" t="s">
        <v>427</v>
      </c>
      <c r="F318" s="98">
        <f>3500*(1+E5)</f>
        <v>3500</v>
      </c>
      <c r="G318" s="90">
        <f>4000*(1+E5)</f>
        <v>4000</v>
      </c>
    </row>
    <row r="319" spans="1:7" x14ac:dyDescent="0.25">
      <c r="A319" s="188"/>
      <c r="B319" s="164"/>
      <c r="C319" s="18" t="s">
        <v>10</v>
      </c>
      <c r="D319" s="182"/>
      <c r="E319" s="159"/>
      <c r="F319" s="98">
        <f>4100*(1+E5)</f>
        <v>4100</v>
      </c>
      <c r="G319" s="90">
        <f>4700*(1+E5)</f>
        <v>4700</v>
      </c>
    </row>
    <row r="320" spans="1:7" ht="27.6" x14ac:dyDescent="0.25">
      <c r="A320" s="188"/>
      <c r="B320" s="164"/>
      <c r="C320" s="13" t="s">
        <v>2</v>
      </c>
      <c r="D320" s="183"/>
      <c r="E320" s="54" t="s">
        <v>429</v>
      </c>
      <c r="F320" s="98">
        <f>6000*(1+E5)</f>
        <v>6000</v>
      </c>
      <c r="G320" s="90">
        <f>6900*(1+E5)</f>
        <v>6900</v>
      </c>
    </row>
    <row r="321" spans="1:7" x14ac:dyDescent="0.25">
      <c r="A321" s="188"/>
      <c r="B321" s="164"/>
      <c r="C321" s="14" t="s">
        <v>18</v>
      </c>
      <c r="D321" s="181" t="s">
        <v>401</v>
      </c>
      <c r="E321" s="184" t="s">
        <v>428</v>
      </c>
      <c r="F321" s="98">
        <f>4000*(1+E5)</f>
        <v>4000</v>
      </c>
      <c r="G321" s="90">
        <f>4600*(1+E5)</f>
        <v>4600</v>
      </c>
    </row>
    <row r="322" spans="1:7" x14ac:dyDescent="0.25">
      <c r="A322" s="188"/>
      <c r="B322" s="164"/>
      <c r="C322" s="18" t="s">
        <v>10</v>
      </c>
      <c r="D322" s="182"/>
      <c r="E322" s="159"/>
      <c r="F322" s="98">
        <f>4900*(1+E5)</f>
        <v>4900</v>
      </c>
      <c r="G322" s="90">
        <f>5500*(1+E5)</f>
        <v>5500</v>
      </c>
    </row>
    <row r="323" spans="1:7" ht="27.6" x14ac:dyDescent="0.25">
      <c r="A323" s="188"/>
      <c r="B323" s="164"/>
      <c r="C323" s="13" t="s">
        <v>2</v>
      </c>
      <c r="D323" s="183"/>
      <c r="E323" s="54" t="s">
        <v>430</v>
      </c>
      <c r="F323" s="98">
        <f>7500*(1+E5)</f>
        <v>7500</v>
      </c>
      <c r="G323" s="90">
        <f>8600*(1+E5)</f>
        <v>8600</v>
      </c>
    </row>
    <row r="324" spans="1:7" x14ac:dyDescent="0.25">
      <c r="A324" s="189"/>
      <c r="B324" s="165"/>
      <c r="C324" s="14" t="s">
        <v>18</v>
      </c>
      <c r="D324" s="181" t="s">
        <v>402</v>
      </c>
      <c r="E324" s="184" t="s">
        <v>428</v>
      </c>
      <c r="F324" s="98">
        <f>4100*(1+E5)</f>
        <v>4100</v>
      </c>
      <c r="G324" s="90">
        <f>4700*(1+E5)</f>
        <v>4700</v>
      </c>
    </row>
    <row r="325" spans="1:7" x14ac:dyDescent="0.25">
      <c r="A325" s="189"/>
      <c r="B325" s="165"/>
      <c r="C325" s="18" t="s">
        <v>10</v>
      </c>
      <c r="D325" s="182"/>
      <c r="E325" s="159"/>
      <c r="F325" s="98">
        <f>5000*(1+E5)</f>
        <v>5000</v>
      </c>
      <c r="G325" s="90">
        <f>5600*(1+E5)</f>
        <v>5600</v>
      </c>
    </row>
    <row r="326" spans="1:7" ht="27.6" x14ac:dyDescent="0.25">
      <c r="A326" s="190"/>
      <c r="B326" s="165"/>
      <c r="C326" s="13" t="s">
        <v>2</v>
      </c>
      <c r="D326" s="183"/>
      <c r="E326" s="54" t="s">
        <v>430</v>
      </c>
      <c r="F326" s="98">
        <f>7500*(1+E5)</f>
        <v>7500</v>
      </c>
      <c r="G326" s="90">
        <f>8600*(1+E5)</f>
        <v>8600</v>
      </c>
    </row>
    <row r="327" spans="1:7" x14ac:dyDescent="0.25">
      <c r="A327" s="187" t="s">
        <v>301</v>
      </c>
      <c r="B327" s="164" t="s">
        <v>8</v>
      </c>
      <c r="C327" s="14" t="s">
        <v>18</v>
      </c>
      <c r="D327" s="181" t="s">
        <v>5</v>
      </c>
      <c r="E327" s="185" t="s">
        <v>423</v>
      </c>
      <c r="F327" s="98">
        <f>2700*(1+E5)</f>
        <v>2700</v>
      </c>
      <c r="G327" s="90" t="s">
        <v>71</v>
      </c>
    </row>
    <row r="328" spans="1:7" x14ac:dyDescent="0.25">
      <c r="A328" s="188"/>
      <c r="B328" s="164"/>
      <c r="C328" s="18" t="s">
        <v>10</v>
      </c>
      <c r="D328" s="182"/>
      <c r="E328" s="186"/>
      <c r="F328" s="98">
        <f>3200*(1+E5)</f>
        <v>3200</v>
      </c>
      <c r="G328" s="90" t="s">
        <v>71</v>
      </c>
    </row>
    <row r="329" spans="1:7" x14ac:dyDescent="0.25">
      <c r="A329" s="188"/>
      <c r="B329" s="164"/>
      <c r="C329" s="13" t="s">
        <v>123</v>
      </c>
      <c r="D329" s="183"/>
      <c r="E329" s="89" t="s">
        <v>424</v>
      </c>
      <c r="F329" s="98">
        <f>5000*(1+E5)</f>
        <v>5000</v>
      </c>
      <c r="G329" s="90" t="s">
        <v>71</v>
      </c>
    </row>
    <row r="330" spans="1:7" x14ac:dyDescent="0.25">
      <c r="A330" s="188"/>
      <c r="B330" s="164"/>
      <c r="C330" s="14" t="s">
        <v>18</v>
      </c>
      <c r="D330" s="181" t="s">
        <v>4</v>
      </c>
      <c r="E330" s="184" t="s">
        <v>425</v>
      </c>
      <c r="F330" s="98">
        <f>3100*(1+E5)</f>
        <v>3100</v>
      </c>
      <c r="G330" s="90" t="s">
        <v>71</v>
      </c>
    </row>
    <row r="331" spans="1:7" x14ac:dyDescent="0.25">
      <c r="A331" s="188"/>
      <c r="B331" s="164"/>
      <c r="C331" s="18" t="s">
        <v>10</v>
      </c>
      <c r="D331" s="182"/>
      <c r="E331" s="159"/>
      <c r="F331" s="98">
        <f>3600*(1+E5)</f>
        <v>3600</v>
      </c>
      <c r="G331" s="90" t="s">
        <v>71</v>
      </c>
    </row>
    <row r="332" spans="1:7" ht="27.6" x14ac:dyDescent="0.25">
      <c r="A332" s="188"/>
      <c r="B332" s="164"/>
      <c r="C332" s="13" t="s">
        <v>2</v>
      </c>
      <c r="D332" s="183"/>
      <c r="E332" s="54" t="s">
        <v>426</v>
      </c>
      <c r="F332" s="98">
        <f>5400*(1+E5)</f>
        <v>5400</v>
      </c>
      <c r="G332" s="90" t="s">
        <v>71</v>
      </c>
    </row>
    <row r="333" spans="1:7" x14ac:dyDescent="0.25">
      <c r="A333" s="188"/>
      <c r="B333" s="164"/>
      <c r="C333" s="14" t="s">
        <v>18</v>
      </c>
      <c r="D333" s="181" t="s">
        <v>299</v>
      </c>
      <c r="E333" s="184" t="s">
        <v>427</v>
      </c>
      <c r="F333" s="98">
        <f>3200*(1+E5)</f>
        <v>3200</v>
      </c>
      <c r="G333" s="90" t="s">
        <v>71</v>
      </c>
    </row>
    <row r="334" spans="1:7" x14ac:dyDescent="0.25">
      <c r="A334" s="188"/>
      <c r="B334" s="164"/>
      <c r="C334" s="18" t="s">
        <v>10</v>
      </c>
      <c r="D334" s="182"/>
      <c r="E334" s="159"/>
      <c r="F334" s="98">
        <f>3700*(1+E5)</f>
        <v>3700</v>
      </c>
      <c r="G334" s="90" t="s">
        <v>71</v>
      </c>
    </row>
    <row r="335" spans="1:7" ht="27.6" x14ac:dyDescent="0.25">
      <c r="A335" s="188"/>
      <c r="B335" s="164"/>
      <c r="C335" s="13" t="s">
        <v>2</v>
      </c>
      <c r="D335" s="183"/>
      <c r="E335" s="54" t="s">
        <v>429</v>
      </c>
      <c r="F335" s="98">
        <f>5500*(1+E5)</f>
        <v>5500</v>
      </c>
      <c r="G335" s="90" t="s">
        <v>71</v>
      </c>
    </row>
    <row r="336" spans="1:7" x14ac:dyDescent="0.25">
      <c r="A336" s="188"/>
      <c r="B336" s="164"/>
      <c r="C336" s="14" t="s">
        <v>18</v>
      </c>
      <c r="D336" s="181" t="s">
        <v>401</v>
      </c>
      <c r="E336" s="184" t="s">
        <v>428</v>
      </c>
      <c r="F336" s="98">
        <f>3700*(1+E5)</f>
        <v>3700</v>
      </c>
      <c r="G336" s="90" t="s">
        <v>71</v>
      </c>
    </row>
    <row r="337" spans="1:7" x14ac:dyDescent="0.25">
      <c r="A337" s="188"/>
      <c r="B337" s="164"/>
      <c r="C337" s="18" t="s">
        <v>10</v>
      </c>
      <c r="D337" s="182"/>
      <c r="E337" s="159"/>
      <c r="F337" s="98">
        <f>4400*(1+E5)</f>
        <v>4400</v>
      </c>
      <c r="G337" s="90" t="s">
        <v>71</v>
      </c>
    </row>
    <row r="338" spans="1:7" ht="27.6" x14ac:dyDescent="0.25">
      <c r="A338" s="188"/>
      <c r="B338" s="164"/>
      <c r="C338" s="13" t="s">
        <v>2</v>
      </c>
      <c r="D338" s="183"/>
      <c r="E338" s="54" t="s">
        <v>430</v>
      </c>
      <c r="F338" s="98">
        <f>6700*(1+E5)</f>
        <v>6700</v>
      </c>
      <c r="G338" s="90" t="s">
        <v>71</v>
      </c>
    </row>
    <row r="339" spans="1:7" x14ac:dyDescent="0.25">
      <c r="A339" s="189"/>
      <c r="B339" s="165"/>
      <c r="C339" s="14" t="s">
        <v>18</v>
      </c>
      <c r="D339" s="181" t="s">
        <v>402</v>
      </c>
      <c r="E339" s="184" t="s">
        <v>428</v>
      </c>
      <c r="F339" s="98">
        <f>3800*(1+E5)</f>
        <v>3800</v>
      </c>
      <c r="G339" s="90" t="s">
        <v>71</v>
      </c>
    </row>
    <row r="340" spans="1:7" x14ac:dyDescent="0.25">
      <c r="A340" s="189"/>
      <c r="B340" s="165"/>
      <c r="C340" s="18" t="s">
        <v>10</v>
      </c>
      <c r="D340" s="182"/>
      <c r="E340" s="159"/>
      <c r="F340" s="98">
        <f>4500*(1+E5)</f>
        <v>4500</v>
      </c>
      <c r="G340" s="90" t="s">
        <v>71</v>
      </c>
    </row>
    <row r="341" spans="1:7" ht="27.6" x14ac:dyDescent="0.25">
      <c r="A341" s="190"/>
      <c r="B341" s="165"/>
      <c r="C341" s="13" t="s">
        <v>2</v>
      </c>
      <c r="D341" s="183"/>
      <c r="E341" s="54" t="s">
        <v>430</v>
      </c>
      <c r="F341" s="98">
        <f>6800*(1+E5)</f>
        <v>6800</v>
      </c>
      <c r="G341" s="90" t="s">
        <v>71</v>
      </c>
    </row>
    <row r="342" spans="1:7" x14ac:dyDescent="0.25">
      <c r="A342" s="193" t="s">
        <v>302</v>
      </c>
      <c r="B342" s="81" t="s">
        <v>1</v>
      </c>
      <c r="C342" s="191" t="s">
        <v>141</v>
      </c>
      <c r="D342" s="164" t="s">
        <v>5</v>
      </c>
      <c r="E342" s="177" t="s">
        <v>431</v>
      </c>
      <c r="F342" s="98">
        <f>2900*(1+E5)</f>
        <v>2900</v>
      </c>
      <c r="G342" s="90">
        <f>3400*(1+E5)</f>
        <v>3400</v>
      </c>
    </row>
    <row r="343" spans="1:7" x14ac:dyDescent="0.25">
      <c r="A343" s="194"/>
      <c r="B343" s="81" t="s">
        <v>8</v>
      </c>
      <c r="C343" s="192"/>
      <c r="D343" s="164"/>
      <c r="E343" s="178"/>
      <c r="F343" s="98">
        <f>2700*(1+E5)</f>
        <v>2700</v>
      </c>
      <c r="G343" s="90" t="s">
        <v>71</v>
      </c>
    </row>
    <row r="344" spans="1:7" x14ac:dyDescent="0.25">
      <c r="A344" s="202" t="s">
        <v>57</v>
      </c>
      <c r="B344" s="181" t="s">
        <v>1</v>
      </c>
      <c r="C344" s="95" t="s">
        <v>18</v>
      </c>
      <c r="D344" s="204" t="s">
        <v>5</v>
      </c>
      <c r="E344" s="158" t="s">
        <v>432</v>
      </c>
      <c r="F344" s="98">
        <f>4700*(1+E5)</f>
        <v>4700</v>
      </c>
      <c r="G344" s="90">
        <f>5300*(1+E5)</f>
        <v>5300</v>
      </c>
    </row>
    <row r="345" spans="1:7" x14ac:dyDescent="0.25">
      <c r="A345" s="202"/>
      <c r="B345" s="208"/>
      <c r="C345" s="18" t="s">
        <v>10</v>
      </c>
      <c r="D345" s="204"/>
      <c r="E345" s="176"/>
      <c r="F345" s="98">
        <f>6100*(1+E5)</f>
        <v>6100</v>
      </c>
      <c r="G345" s="90">
        <f>7000*(1+E5)</f>
        <v>7000</v>
      </c>
    </row>
    <row r="346" spans="1:7" x14ac:dyDescent="0.25">
      <c r="A346" s="202"/>
      <c r="B346" s="225"/>
      <c r="C346" s="88" t="s">
        <v>2</v>
      </c>
      <c r="D346" s="204"/>
      <c r="E346" s="176"/>
      <c r="F346" s="98">
        <f>9300*(1+E5)</f>
        <v>9300</v>
      </c>
      <c r="G346" s="90">
        <f>10600*(1+E5)</f>
        <v>10600</v>
      </c>
    </row>
    <row r="347" spans="1:7" x14ac:dyDescent="0.25">
      <c r="A347" s="202"/>
      <c r="B347" s="204" t="s">
        <v>8</v>
      </c>
      <c r="C347" s="95" t="s">
        <v>18</v>
      </c>
      <c r="D347" s="204"/>
      <c r="E347" s="176"/>
      <c r="F347" s="98">
        <f>4200*(1+E5)</f>
        <v>4200</v>
      </c>
      <c r="G347" s="90" t="s">
        <v>71</v>
      </c>
    </row>
    <row r="348" spans="1:7" x14ac:dyDescent="0.25">
      <c r="A348" s="202"/>
      <c r="B348" s="204"/>
      <c r="C348" s="18" t="s">
        <v>10</v>
      </c>
      <c r="D348" s="204"/>
      <c r="E348" s="176"/>
      <c r="F348" s="98">
        <f>5430*(1+E5)</f>
        <v>5430</v>
      </c>
      <c r="G348" s="90" t="s">
        <v>71</v>
      </c>
    </row>
    <row r="349" spans="1:7" x14ac:dyDescent="0.25">
      <c r="A349" s="202"/>
      <c r="B349" s="181"/>
      <c r="C349" s="88" t="s">
        <v>2</v>
      </c>
      <c r="D349" s="204"/>
      <c r="E349" s="159"/>
      <c r="F349" s="98">
        <f>8600*(1+E5)</f>
        <v>8600</v>
      </c>
      <c r="G349" s="90" t="s">
        <v>71</v>
      </c>
    </row>
    <row r="350" spans="1:7" x14ac:dyDescent="0.25">
      <c r="A350" s="202" t="s">
        <v>58</v>
      </c>
      <c r="B350" s="203" t="s">
        <v>1</v>
      </c>
      <c r="C350" s="81" t="s">
        <v>18</v>
      </c>
      <c r="D350" s="205" t="s">
        <v>5</v>
      </c>
      <c r="E350" s="158" t="s">
        <v>432</v>
      </c>
      <c r="F350" s="98">
        <f>5600*(1+E5)</f>
        <v>5600</v>
      </c>
      <c r="G350" s="90">
        <f>6400*(1+E5)</f>
        <v>6400</v>
      </c>
    </row>
    <row r="351" spans="1:7" x14ac:dyDescent="0.25">
      <c r="A351" s="202"/>
      <c r="B351" s="204"/>
      <c r="C351" s="18" t="s">
        <v>10</v>
      </c>
      <c r="D351" s="204"/>
      <c r="E351" s="176"/>
      <c r="F351" s="98">
        <f>7300*(1+E5)</f>
        <v>7300</v>
      </c>
      <c r="G351" s="90">
        <f>8300*(1+E5)</f>
        <v>8300</v>
      </c>
    </row>
    <row r="352" spans="1:7" x14ac:dyDescent="0.25">
      <c r="A352" s="202"/>
      <c r="B352" s="204"/>
      <c r="C352" s="88" t="s">
        <v>2</v>
      </c>
      <c r="D352" s="204"/>
      <c r="E352" s="176"/>
      <c r="F352" s="98">
        <f>11500*(1+E5)</f>
        <v>11500</v>
      </c>
      <c r="G352" s="90">
        <f>12700*(1+E5)</f>
        <v>12700</v>
      </c>
    </row>
    <row r="353" spans="1:7" x14ac:dyDescent="0.25">
      <c r="A353" s="202"/>
      <c r="B353" s="204" t="s">
        <v>8</v>
      </c>
      <c r="C353" s="95" t="s">
        <v>18</v>
      </c>
      <c r="D353" s="204"/>
      <c r="E353" s="176"/>
      <c r="F353" s="98">
        <f>5000*(1+E5)</f>
        <v>5000</v>
      </c>
      <c r="G353" s="90" t="s">
        <v>71</v>
      </c>
    </row>
    <row r="354" spans="1:7" x14ac:dyDescent="0.25">
      <c r="A354" s="202"/>
      <c r="B354" s="204"/>
      <c r="C354" s="18" t="s">
        <v>10</v>
      </c>
      <c r="D354" s="204"/>
      <c r="E354" s="176"/>
      <c r="F354" s="98">
        <f>6600*(1+E5)</f>
        <v>6600</v>
      </c>
      <c r="G354" s="90" t="s">
        <v>71</v>
      </c>
    </row>
    <row r="355" spans="1:7" x14ac:dyDescent="0.25">
      <c r="A355" s="202"/>
      <c r="B355" s="204"/>
      <c r="C355" s="88" t="s">
        <v>2</v>
      </c>
      <c r="D355" s="204"/>
      <c r="E355" s="159"/>
      <c r="F355" s="98">
        <f>10500*(1+E5)</f>
        <v>10500</v>
      </c>
      <c r="G355" s="90" t="s">
        <v>71</v>
      </c>
    </row>
    <row r="356" spans="1:7" x14ac:dyDescent="0.25">
      <c r="A356" s="269" t="s">
        <v>300</v>
      </c>
      <c r="B356" s="81" t="s">
        <v>1</v>
      </c>
      <c r="C356" s="13"/>
      <c r="D356" s="164" t="s">
        <v>5</v>
      </c>
      <c r="E356" s="177" t="s">
        <v>433</v>
      </c>
      <c r="F356" s="98">
        <f>3200*(1+E5)</f>
        <v>3200</v>
      </c>
      <c r="G356" s="90">
        <f>3500*(1+E5)</f>
        <v>3500</v>
      </c>
    </row>
    <row r="357" spans="1:7" x14ac:dyDescent="0.25">
      <c r="A357" s="269"/>
      <c r="B357" s="81" t="s">
        <v>8</v>
      </c>
      <c r="C357" s="13"/>
      <c r="D357" s="164"/>
      <c r="E357" s="178"/>
      <c r="F357" s="98">
        <f>3000*(1+E5)</f>
        <v>3000</v>
      </c>
      <c r="G357" s="90" t="s">
        <v>71</v>
      </c>
    </row>
    <row r="358" spans="1:7" x14ac:dyDescent="0.25">
      <c r="A358" s="347" t="s">
        <v>134</v>
      </c>
      <c r="B358" s="81" t="s">
        <v>1</v>
      </c>
      <c r="C358" s="177">
        <v>1.05</v>
      </c>
      <c r="D358" s="164" t="s">
        <v>5</v>
      </c>
      <c r="E358" s="179" t="s">
        <v>434</v>
      </c>
      <c r="F358" s="98">
        <f>5100*(1+E5)</f>
        <v>5100</v>
      </c>
      <c r="G358" s="90">
        <f>5800*(1+E5)</f>
        <v>5800</v>
      </c>
    </row>
    <row r="359" spans="1:7" x14ac:dyDescent="0.25">
      <c r="A359" s="348"/>
      <c r="B359" s="81" t="s">
        <v>8</v>
      </c>
      <c r="C359" s="267"/>
      <c r="D359" s="164"/>
      <c r="E359" s="180"/>
      <c r="F359" s="98">
        <f>4600*(1+E5)</f>
        <v>4600</v>
      </c>
      <c r="G359" s="90" t="s">
        <v>71</v>
      </c>
    </row>
    <row r="360" spans="1:7" x14ac:dyDescent="0.25">
      <c r="A360" s="348"/>
      <c r="B360" s="81" t="s">
        <v>1</v>
      </c>
      <c r="C360" s="177">
        <v>2.4500000000000002</v>
      </c>
      <c r="D360" s="164" t="s">
        <v>5</v>
      </c>
      <c r="E360" s="179" t="s">
        <v>435</v>
      </c>
      <c r="F360" s="98">
        <f>9700*(1+E5)</f>
        <v>9700</v>
      </c>
      <c r="G360" s="90">
        <f>10600*(1+E5)</f>
        <v>10600</v>
      </c>
    </row>
    <row r="361" spans="1:7" x14ac:dyDescent="0.25">
      <c r="A361" s="349"/>
      <c r="B361" s="81" t="s">
        <v>8</v>
      </c>
      <c r="C361" s="267"/>
      <c r="D361" s="164"/>
      <c r="E361" s="180"/>
      <c r="F361" s="98">
        <f>9000*(1+E5)</f>
        <v>9000</v>
      </c>
      <c r="G361" s="90" t="s">
        <v>71</v>
      </c>
    </row>
    <row r="362" spans="1:7" x14ac:dyDescent="0.25">
      <c r="A362" s="377" t="s">
        <v>135</v>
      </c>
      <c r="B362" s="81" t="s">
        <v>1</v>
      </c>
      <c r="C362" s="177">
        <v>1.05</v>
      </c>
      <c r="D362" s="164" t="s">
        <v>5</v>
      </c>
      <c r="E362" s="179" t="s">
        <v>437</v>
      </c>
      <c r="F362" s="98">
        <f>7600*(1+E5)</f>
        <v>7600</v>
      </c>
      <c r="G362" s="90">
        <f>8500*(1+E5)</f>
        <v>8500</v>
      </c>
    </row>
    <row r="363" spans="1:7" x14ac:dyDescent="0.25">
      <c r="A363" s="378"/>
      <c r="B363" s="81" t="s">
        <v>8</v>
      </c>
      <c r="C363" s="267"/>
      <c r="D363" s="164"/>
      <c r="E363" s="180"/>
      <c r="F363" s="98">
        <f>6800*(1+E5)</f>
        <v>6800</v>
      </c>
      <c r="G363" s="90" t="s">
        <v>71</v>
      </c>
    </row>
    <row r="364" spans="1:7" x14ac:dyDescent="0.25">
      <c r="A364" s="332"/>
      <c r="B364" s="81" t="s">
        <v>1</v>
      </c>
      <c r="C364" s="177">
        <v>2.4500000000000002</v>
      </c>
      <c r="D364" s="164" t="s">
        <v>5</v>
      </c>
      <c r="E364" s="179" t="s">
        <v>436</v>
      </c>
      <c r="F364" s="98">
        <f>14300*(1+E5)</f>
        <v>14300</v>
      </c>
      <c r="G364" s="90">
        <f>15000*(1+E5)</f>
        <v>15000</v>
      </c>
    </row>
    <row r="365" spans="1:7" x14ac:dyDescent="0.25">
      <c r="A365" s="333"/>
      <c r="B365" s="81" t="s">
        <v>8</v>
      </c>
      <c r="C365" s="350"/>
      <c r="D365" s="164"/>
      <c r="E365" s="180"/>
      <c r="F365" s="98">
        <f>12300*(1+E5)</f>
        <v>12300</v>
      </c>
      <c r="G365" s="90" t="s">
        <v>71</v>
      </c>
    </row>
    <row r="366" spans="1:7" x14ac:dyDescent="0.25">
      <c r="A366" s="269" t="s">
        <v>136</v>
      </c>
      <c r="B366" s="164" t="s">
        <v>1</v>
      </c>
      <c r="C366" s="81" t="s">
        <v>309</v>
      </c>
      <c r="D366" s="205" t="s">
        <v>5</v>
      </c>
      <c r="E366" s="158" t="s">
        <v>438</v>
      </c>
      <c r="F366" s="98">
        <f>13000*(1+E5)</f>
        <v>13000</v>
      </c>
      <c r="G366" s="90">
        <f>14000*(1+E5)</f>
        <v>14000</v>
      </c>
    </row>
    <row r="367" spans="1:7" x14ac:dyDescent="0.25">
      <c r="A367" s="269"/>
      <c r="B367" s="164"/>
      <c r="C367" s="14" t="s">
        <v>310</v>
      </c>
      <c r="D367" s="204"/>
      <c r="E367" s="176"/>
      <c r="F367" s="98">
        <f>16000*(1+E5)</f>
        <v>16000</v>
      </c>
      <c r="G367" s="90">
        <f>17000*(1+E5)</f>
        <v>17000</v>
      </c>
    </row>
    <row r="368" spans="1:7" x14ac:dyDescent="0.25">
      <c r="A368" s="270"/>
      <c r="B368" s="268"/>
      <c r="C368" s="79" t="s">
        <v>311</v>
      </c>
      <c r="D368" s="204"/>
      <c r="E368" s="176"/>
      <c r="F368" s="98">
        <f>19500*(1+E5)</f>
        <v>19500</v>
      </c>
      <c r="G368" s="90">
        <f>20000*(1+E5)</f>
        <v>20000</v>
      </c>
    </row>
    <row r="369" spans="1:7" x14ac:dyDescent="0.25">
      <c r="A369" s="270"/>
      <c r="B369" s="164" t="s">
        <v>8</v>
      </c>
      <c r="C369" s="13" t="s">
        <v>309</v>
      </c>
      <c r="D369" s="204"/>
      <c r="E369" s="176"/>
      <c r="F369" s="98">
        <f>11800*(1+E5)</f>
        <v>11800</v>
      </c>
      <c r="G369" s="90" t="s">
        <v>71</v>
      </c>
    </row>
    <row r="370" spans="1:7" x14ac:dyDescent="0.25">
      <c r="A370" s="270"/>
      <c r="B370" s="164"/>
      <c r="C370" s="13" t="s">
        <v>310</v>
      </c>
      <c r="D370" s="204"/>
      <c r="E370" s="176"/>
      <c r="F370" s="98">
        <f>15000*(1+E5)</f>
        <v>15000</v>
      </c>
      <c r="G370" s="90" t="s">
        <v>71</v>
      </c>
    </row>
    <row r="371" spans="1:7" x14ac:dyDescent="0.25">
      <c r="A371" s="270"/>
      <c r="B371" s="268"/>
      <c r="C371" s="79" t="s">
        <v>311</v>
      </c>
      <c r="D371" s="204"/>
      <c r="E371" s="159"/>
      <c r="F371" s="98">
        <f>18500*(1+E5)</f>
        <v>18500</v>
      </c>
      <c r="G371" s="90" t="s">
        <v>71</v>
      </c>
    </row>
    <row r="372" spans="1:7" s="10" customFormat="1" x14ac:dyDescent="0.25">
      <c r="A372" s="273" t="s">
        <v>345</v>
      </c>
      <c r="B372" s="87" t="s">
        <v>1</v>
      </c>
      <c r="C372" s="50"/>
      <c r="D372" s="314" t="s">
        <v>82</v>
      </c>
      <c r="E372" s="343" t="s">
        <v>439</v>
      </c>
      <c r="F372" s="98">
        <f>2500*(1+E5)</f>
        <v>2500</v>
      </c>
      <c r="G372" s="98">
        <f>2900*(1+E5)</f>
        <v>2900</v>
      </c>
    </row>
    <row r="373" spans="1:7" s="10" customFormat="1" x14ac:dyDescent="0.25">
      <c r="A373" s="297"/>
      <c r="B373" s="87" t="s">
        <v>8</v>
      </c>
      <c r="C373" s="50"/>
      <c r="D373" s="314"/>
      <c r="E373" s="178"/>
      <c r="F373" s="98">
        <f>2300*(1+E5)</f>
        <v>2300</v>
      </c>
      <c r="G373" s="98" t="s">
        <v>71</v>
      </c>
    </row>
    <row r="374" spans="1:7" s="10" customFormat="1" x14ac:dyDescent="0.25">
      <c r="A374" s="315"/>
      <c r="B374" s="87" t="s">
        <v>1</v>
      </c>
      <c r="C374" s="50"/>
      <c r="D374" s="314" t="s">
        <v>4</v>
      </c>
      <c r="E374" s="344" t="s">
        <v>440</v>
      </c>
      <c r="F374" s="98">
        <f>6000*(1+E5)</f>
        <v>6000</v>
      </c>
      <c r="G374" s="98">
        <f>6600*(1+E5)</f>
        <v>6600</v>
      </c>
    </row>
    <row r="375" spans="1:7" s="10" customFormat="1" x14ac:dyDescent="0.25">
      <c r="A375" s="315"/>
      <c r="B375" s="87" t="s">
        <v>8</v>
      </c>
      <c r="C375" s="50"/>
      <c r="D375" s="314"/>
      <c r="E375" s="180"/>
      <c r="F375" s="98">
        <f>5500*(1+E5)</f>
        <v>5500</v>
      </c>
      <c r="G375" s="98" t="s">
        <v>71</v>
      </c>
    </row>
    <row r="376" spans="1:7" s="10" customFormat="1" x14ac:dyDescent="0.25">
      <c r="A376" s="315"/>
      <c r="B376" s="87" t="s">
        <v>1</v>
      </c>
      <c r="C376" s="50"/>
      <c r="D376" s="314" t="s">
        <v>60</v>
      </c>
      <c r="E376" s="344" t="s">
        <v>441</v>
      </c>
      <c r="F376" s="98">
        <f>6000*(1+E5)</f>
        <v>6000</v>
      </c>
      <c r="G376" s="98">
        <f>6600*(1+E5)</f>
        <v>6600</v>
      </c>
    </row>
    <row r="377" spans="1:7" s="10" customFormat="1" x14ac:dyDescent="0.25">
      <c r="A377" s="316"/>
      <c r="B377" s="87" t="s">
        <v>8</v>
      </c>
      <c r="C377" s="50"/>
      <c r="D377" s="314"/>
      <c r="E377" s="180"/>
      <c r="F377" s="98">
        <f>5500*(1+E5)</f>
        <v>5500</v>
      </c>
      <c r="G377" s="98" t="s">
        <v>71</v>
      </c>
    </row>
    <row r="378" spans="1:7" x14ac:dyDescent="0.25">
      <c r="A378" s="187" t="s">
        <v>315</v>
      </c>
      <c r="B378" s="81" t="s">
        <v>1</v>
      </c>
      <c r="C378" s="275" t="s">
        <v>18</v>
      </c>
      <c r="D378" s="164" t="s">
        <v>82</v>
      </c>
      <c r="E378" s="177" t="s">
        <v>442</v>
      </c>
      <c r="F378" s="98">
        <f>4100*(1+E5)</f>
        <v>4100</v>
      </c>
      <c r="G378" s="90">
        <f>4700*(1+E5)</f>
        <v>4700</v>
      </c>
    </row>
    <row r="379" spans="1:7" x14ac:dyDescent="0.25">
      <c r="A379" s="188"/>
      <c r="B379" s="81" t="s">
        <v>8</v>
      </c>
      <c r="C379" s="276"/>
      <c r="D379" s="268"/>
      <c r="E379" s="178"/>
      <c r="F379" s="98">
        <f>3700*(1+E5)</f>
        <v>3700</v>
      </c>
      <c r="G379" s="90" t="s">
        <v>71</v>
      </c>
    </row>
    <row r="380" spans="1:7" x14ac:dyDescent="0.25">
      <c r="A380" s="188"/>
      <c r="B380" s="81" t="s">
        <v>1</v>
      </c>
      <c r="C380" s="191" t="s">
        <v>18</v>
      </c>
      <c r="D380" s="208" t="s">
        <v>299</v>
      </c>
      <c r="E380" s="177" t="s">
        <v>443</v>
      </c>
      <c r="F380" s="98">
        <f>5000*(1+E5)</f>
        <v>5000</v>
      </c>
      <c r="G380" s="90">
        <f>5500*(1+E5)</f>
        <v>5500</v>
      </c>
    </row>
    <row r="381" spans="1:7" x14ac:dyDescent="0.25">
      <c r="A381" s="274"/>
      <c r="B381" s="92" t="s">
        <v>8</v>
      </c>
      <c r="C381" s="207"/>
      <c r="D381" s="182"/>
      <c r="E381" s="178"/>
      <c r="F381" s="76">
        <f>4350*(1+E5)</f>
        <v>4350</v>
      </c>
      <c r="G381" s="19" t="s">
        <v>71</v>
      </c>
    </row>
    <row r="382" spans="1:7" s="10" customFormat="1" x14ac:dyDescent="0.25">
      <c r="A382" s="317" t="s">
        <v>349</v>
      </c>
      <c r="B382" s="87" t="s">
        <v>1</v>
      </c>
      <c r="C382" s="320" t="s">
        <v>18</v>
      </c>
      <c r="D382" s="164" t="s">
        <v>82</v>
      </c>
      <c r="E382" s="177" t="s">
        <v>442</v>
      </c>
      <c r="F382" s="98">
        <f>6600*(1+E5)</f>
        <v>6600</v>
      </c>
      <c r="G382" s="98">
        <f>7250*(1+E5)</f>
        <v>7250</v>
      </c>
    </row>
    <row r="383" spans="1:7" s="10" customFormat="1" x14ac:dyDescent="0.25">
      <c r="A383" s="318"/>
      <c r="B383" s="87" t="s">
        <v>8</v>
      </c>
      <c r="C383" s="321"/>
      <c r="D383" s="268"/>
      <c r="E383" s="178"/>
      <c r="F383" s="98">
        <f>6000*(1+E5)</f>
        <v>6000</v>
      </c>
      <c r="G383" s="98" t="s">
        <v>71</v>
      </c>
    </row>
    <row r="384" spans="1:7" s="10" customFormat="1" x14ac:dyDescent="0.25">
      <c r="A384" s="318"/>
      <c r="B384" s="87" t="s">
        <v>1</v>
      </c>
      <c r="C384" s="322" t="s">
        <v>18</v>
      </c>
      <c r="D384" s="305" t="s">
        <v>299</v>
      </c>
      <c r="E384" s="177" t="s">
        <v>443</v>
      </c>
      <c r="F384" s="98">
        <f>7500*(1+E5)</f>
        <v>7500</v>
      </c>
      <c r="G384" s="98">
        <f>8250*(1+E5)</f>
        <v>8250</v>
      </c>
    </row>
    <row r="385" spans="1:7" s="10" customFormat="1" x14ac:dyDescent="0.25">
      <c r="A385" s="319"/>
      <c r="B385" s="65" t="s">
        <v>8</v>
      </c>
      <c r="C385" s="323"/>
      <c r="D385" s="324"/>
      <c r="E385" s="178"/>
      <c r="F385" s="76">
        <f>6900*(1+E5)</f>
        <v>6900</v>
      </c>
      <c r="G385" s="76" t="s">
        <v>71</v>
      </c>
    </row>
    <row r="386" spans="1:7" s="10" customFormat="1" x14ac:dyDescent="0.25">
      <c r="A386" s="317" t="s">
        <v>350</v>
      </c>
      <c r="B386" s="87" t="s">
        <v>1</v>
      </c>
      <c r="C386" s="320" t="s">
        <v>18</v>
      </c>
      <c r="D386" s="164" t="s">
        <v>82</v>
      </c>
      <c r="E386" s="177" t="s">
        <v>442</v>
      </c>
      <c r="F386" s="98">
        <f>8000*(1+E5)</f>
        <v>8000</v>
      </c>
      <c r="G386" s="98">
        <f>8800*(1+E5)</f>
        <v>8800</v>
      </c>
    </row>
    <row r="387" spans="1:7" s="10" customFormat="1" x14ac:dyDescent="0.25">
      <c r="A387" s="318"/>
      <c r="B387" s="87" t="s">
        <v>8</v>
      </c>
      <c r="C387" s="321"/>
      <c r="D387" s="268"/>
      <c r="E387" s="178"/>
      <c r="F387" s="98">
        <f>7300*(1+E5)</f>
        <v>7300</v>
      </c>
      <c r="G387" s="98" t="s">
        <v>71</v>
      </c>
    </row>
    <row r="388" spans="1:7" s="10" customFormat="1" x14ac:dyDescent="0.25">
      <c r="A388" s="318"/>
      <c r="B388" s="87" t="s">
        <v>1</v>
      </c>
      <c r="C388" s="322" t="s">
        <v>18</v>
      </c>
      <c r="D388" s="305" t="s">
        <v>299</v>
      </c>
      <c r="E388" s="177" t="s">
        <v>443</v>
      </c>
      <c r="F388" s="98">
        <f>9600*(1+E5)</f>
        <v>9600</v>
      </c>
      <c r="G388" s="98">
        <f>10500*(1+E5)</f>
        <v>10500</v>
      </c>
    </row>
    <row r="389" spans="1:7" s="10" customFormat="1" x14ac:dyDescent="0.25">
      <c r="A389" s="319"/>
      <c r="B389" s="65" t="s">
        <v>8</v>
      </c>
      <c r="C389" s="323"/>
      <c r="D389" s="324"/>
      <c r="E389" s="178"/>
      <c r="F389" s="76">
        <f>8000*(1+E5)</f>
        <v>8000</v>
      </c>
      <c r="G389" s="76" t="s">
        <v>71</v>
      </c>
    </row>
    <row r="390" spans="1:7" s="10" customFormat="1" x14ac:dyDescent="0.25">
      <c r="A390" s="339" t="s">
        <v>352</v>
      </c>
      <c r="B390" s="87" t="s">
        <v>1</v>
      </c>
      <c r="C390" s="320" t="s">
        <v>18</v>
      </c>
      <c r="D390" s="164" t="s">
        <v>82</v>
      </c>
      <c r="E390" s="177" t="s">
        <v>442</v>
      </c>
      <c r="F390" s="98">
        <f>10000*(1+E5)</f>
        <v>10000</v>
      </c>
      <c r="G390" s="98">
        <f>11000*(1+E5)</f>
        <v>11000</v>
      </c>
    </row>
    <row r="391" spans="1:7" s="10" customFormat="1" x14ac:dyDescent="0.25">
      <c r="A391" s="340"/>
      <c r="B391" s="87" t="s">
        <v>8</v>
      </c>
      <c r="C391" s="321"/>
      <c r="D391" s="268"/>
      <c r="E391" s="178"/>
      <c r="F391" s="98">
        <f>9200*(1+E5)</f>
        <v>9200</v>
      </c>
      <c r="G391" s="98" t="s">
        <v>71</v>
      </c>
    </row>
    <row r="392" spans="1:7" s="10" customFormat="1" x14ac:dyDescent="0.25">
      <c r="A392" s="340"/>
      <c r="B392" s="87" t="s">
        <v>1</v>
      </c>
      <c r="C392" s="322" t="s">
        <v>18</v>
      </c>
      <c r="D392" s="305" t="s">
        <v>299</v>
      </c>
      <c r="E392" s="342" t="s">
        <v>443</v>
      </c>
      <c r="F392" s="98">
        <f>11200*(1+E5)</f>
        <v>11200</v>
      </c>
      <c r="G392" s="98">
        <f>12250*(1+E5)</f>
        <v>12250</v>
      </c>
    </row>
    <row r="393" spans="1:7" s="10" customFormat="1" x14ac:dyDescent="0.25">
      <c r="A393" s="341"/>
      <c r="B393" s="65" t="s">
        <v>8</v>
      </c>
      <c r="C393" s="323"/>
      <c r="D393" s="324"/>
      <c r="E393" s="213"/>
      <c r="F393" s="76">
        <f>10100*(1+E5)</f>
        <v>10100</v>
      </c>
      <c r="G393" s="76" t="s">
        <v>71</v>
      </c>
    </row>
    <row r="394" spans="1:7" s="10" customFormat="1" x14ac:dyDescent="0.25">
      <c r="A394" s="371" t="s">
        <v>351</v>
      </c>
      <c r="B394" s="57" t="s">
        <v>1</v>
      </c>
      <c r="C394" s="375"/>
      <c r="D394" s="373" t="s">
        <v>82</v>
      </c>
      <c r="E394" s="337" t="s">
        <v>470</v>
      </c>
      <c r="F394" s="59">
        <f>1200*(1+E5)</f>
        <v>1200</v>
      </c>
      <c r="G394" s="58">
        <f>1300*(1+E5)</f>
        <v>1300</v>
      </c>
    </row>
    <row r="395" spans="1:7" s="10" customFormat="1" x14ac:dyDescent="0.25">
      <c r="A395" s="372"/>
      <c r="B395" s="72" t="s">
        <v>8</v>
      </c>
      <c r="C395" s="376"/>
      <c r="D395" s="374"/>
      <c r="E395" s="338"/>
      <c r="F395" s="61">
        <f>1100*(1+E5)</f>
        <v>1100</v>
      </c>
      <c r="G395" s="60" t="s">
        <v>71</v>
      </c>
    </row>
    <row r="396" spans="1:7" s="10" customFormat="1" x14ac:dyDescent="0.25">
      <c r="A396" s="133"/>
      <c r="B396" s="72"/>
      <c r="C396" s="134"/>
      <c r="D396" s="126"/>
      <c r="E396" s="135"/>
      <c r="F396" s="61"/>
      <c r="G396" s="136"/>
    </row>
    <row r="397" spans="1:7" ht="27.6" x14ac:dyDescent="0.25">
      <c r="A397" s="21" t="s">
        <v>22</v>
      </c>
      <c r="B397" s="81" t="s">
        <v>23</v>
      </c>
      <c r="C397" s="81" t="s">
        <v>24</v>
      </c>
      <c r="D397" s="81" t="s">
        <v>25</v>
      </c>
      <c r="E397" s="6" t="s">
        <v>26</v>
      </c>
      <c r="F397" s="6" t="s">
        <v>124</v>
      </c>
      <c r="G397" s="94" t="s">
        <v>113</v>
      </c>
    </row>
    <row r="398" spans="1:7" x14ac:dyDescent="0.25">
      <c r="A398" s="239" t="s">
        <v>110</v>
      </c>
      <c r="B398" s="240"/>
      <c r="C398" s="240"/>
      <c r="D398" s="240"/>
      <c r="E398" s="241"/>
      <c r="F398" s="240"/>
      <c r="G398" s="240"/>
    </row>
    <row r="399" spans="1:7" x14ac:dyDescent="0.25">
      <c r="A399" s="231" t="s">
        <v>306</v>
      </c>
      <c r="B399" s="157" t="s">
        <v>1</v>
      </c>
      <c r="C399" s="86" t="s">
        <v>18</v>
      </c>
      <c r="D399" s="266"/>
      <c r="E399" s="166" t="s">
        <v>380</v>
      </c>
      <c r="F399" s="86">
        <f>2150*(1+E5)</f>
        <v>2150</v>
      </c>
      <c r="G399" s="86">
        <f>2450*(1+E5)</f>
        <v>2450</v>
      </c>
    </row>
    <row r="400" spans="1:7" x14ac:dyDescent="0.25">
      <c r="A400" s="271"/>
      <c r="B400" s="169"/>
      <c r="C400" s="74" t="s">
        <v>10</v>
      </c>
      <c r="D400" s="168"/>
      <c r="E400" s="152"/>
      <c r="F400" s="74">
        <f>3250*(1+E5)</f>
        <v>3250</v>
      </c>
      <c r="G400" s="74">
        <f>3700*(1+E5)</f>
        <v>3700</v>
      </c>
    </row>
    <row r="401" spans="1:7" x14ac:dyDescent="0.25">
      <c r="A401" s="271"/>
      <c r="B401" s="169"/>
      <c r="C401" s="74" t="s">
        <v>2</v>
      </c>
      <c r="D401" s="156"/>
      <c r="E401" s="152"/>
      <c r="F401" s="74">
        <f>5250*(1+E5)</f>
        <v>5250</v>
      </c>
      <c r="G401" s="74">
        <f>6000*(1+E5)</f>
        <v>6000</v>
      </c>
    </row>
    <row r="402" spans="1:7" x14ac:dyDescent="0.25">
      <c r="A402" s="271"/>
      <c r="B402" s="169" t="s">
        <v>8</v>
      </c>
      <c r="C402" s="74" t="s">
        <v>18</v>
      </c>
      <c r="D402" s="155"/>
      <c r="E402" s="152"/>
      <c r="F402" s="74">
        <f>1950*(1+E5)</f>
        <v>1950</v>
      </c>
      <c r="G402" s="74" t="s">
        <v>71</v>
      </c>
    </row>
    <row r="403" spans="1:7" x14ac:dyDescent="0.25">
      <c r="A403" s="271"/>
      <c r="B403" s="169"/>
      <c r="C403" s="74" t="s">
        <v>10</v>
      </c>
      <c r="D403" s="168"/>
      <c r="E403" s="152"/>
      <c r="F403" s="74">
        <f>2950*(1+E5)</f>
        <v>2950</v>
      </c>
      <c r="G403" s="74" t="s">
        <v>71</v>
      </c>
    </row>
    <row r="404" spans="1:7" x14ac:dyDescent="0.25">
      <c r="A404" s="264"/>
      <c r="B404" s="169"/>
      <c r="C404" s="74" t="s">
        <v>2</v>
      </c>
      <c r="D404" s="156"/>
      <c r="E404" s="152"/>
      <c r="F404" s="74">
        <f>4750*(1+E5)</f>
        <v>4750</v>
      </c>
      <c r="G404" s="74" t="s">
        <v>71</v>
      </c>
    </row>
    <row r="405" spans="1:7" x14ac:dyDescent="0.25">
      <c r="A405" s="230" t="s">
        <v>307</v>
      </c>
      <c r="B405" s="169" t="s">
        <v>1</v>
      </c>
      <c r="C405" s="74" t="s">
        <v>18</v>
      </c>
      <c r="D405" s="155"/>
      <c r="E405" s="152"/>
      <c r="F405" s="74">
        <f>2350*(1+E5)</f>
        <v>2350</v>
      </c>
      <c r="G405" s="74">
        <f>2650*(1+E5)</f>
        <v>2650</v>
      </c>
    </row>
    <row r="406" spans="1:7" x14ac:dyDescent="0.25">
      <c r="A406" s="271"/>
      <c r="B406" s="169"/>
      <c r="C406" s="74" t="s">
        <v>10</v>
      </c>
      <c r="D406" s="168"/>
      <c r="E406" s="152"/>
      <c r="F406" s="74">
        <f>3550*(1+E5)</f>
        <v>3550</v>
      </c>
      <c r="G406" s="74">
        <f>4000*(1+E5)</f>
        <v>4000</v>
      </c>
    </row>
    <row r="407" spans="1:7" x14ac:dyDescent="0.25">
      <c r="A407" s="271"/>
      <c r="B407" s="169"/>
      <c r="C407" s="74" t="s">
        <v>2</v>
      </c>
      <c r="D407" s="156"/>
      <c r="E407" s="152"/>
      <c r="F407" s="74">
        <f>5750*(1+E5)</f>
        <v>5750</v>
      </c>
      <c r="G407" s="74">
        <f>6500*(1+E5)</f>
        <v>6500</v>
      </c>
    </row>
    <row r="408" spans="1:7" x14ac:dyDescent="0.25">
      <c r="A408" s="271"/>
      <c r="B408" s="169" t="s">
        <v>8</v>
      </c>
      <c r="C408" s="74" t="s">
        <v>18</v>
      </c>
      <c r="D408" s="155"/>
      <c r="E408" s="152"/>
      <c r="F408" s="74">
        <f>2150*(1+E5)</f>
        <v>2150</v>
      </c>
      <c r="G408" s="74" t="s">
        <v>71</v>
      </c>
    </row>
    <row r="409" spans="1:7" x14ac:dyDescent="0.25">
      <c r="A409" s="271"/>
      <c r="B409" s="169"/>
      <c r="C409" s="74" t="s">
        <v>10</v>
      </c>
      <c r="D409" s="168"/>
      <c r="E409" s="152"/>
      <c r="F409" s="74">
        <f>3250*(1+E5)</f>
        <v>3250</v>
      </c>
      <c r="G409" s="74" t="s">
        <v>71</v>
      </c>
    </row>
    <row r="410" spans="1:7" x14ac:dyDescent="0.25">
      <c r="A410" s="264"/>
      <c r="B410" s="169"/>
      <c r="C410" s="74" t="s">
        <v>2</v>
      </c>
      <c r="D410" s="156"/>
      <c r="E410" s="153"/>
      <c r="F410" s="74">
        <f>5200*(1+E5)</f>
        <v>5200</v>
      </c>
      <c r="G410" s="74" t="s">
        <v>71</v>
      </c>
    </row>
    <row r="411" spans="1:7" x14ac:dyDescent="0.25">
      <c r="A411" s="101" t="s">
        <v>42</v>
      </c>
      <c r="B411" s="198" t="s">
        <v>1</v>
      </c>
      <c r="C411" s="74"/>
      <c r="D411" s="74" t="s">
        <v>5</v>
      </c>
      <c r="E411" s="11" t="s">
        <v>43</v>
      </c>
      <c r="F411" s="74">
        <f>1800*(1+E5)</f>
        <v>1800</v>
      </c>
      <c r="G411" s="74">
        <f>2100*(1+E5)</f>
        <v>2100</v>
      </c>
    </row>
    <row r="412" spans="1:7" x14ac:dyDescent="0.25">
      <c r="A412" s="101" t="s">
        <v>44</v>
      </c>
      <c r="B412" s="198"/>
      <c r="C412" s="74"/>
      <c r="D412" s="74" t="s">
        <v>5</v>
      </c>
      <c r="E412" s="11" t="s">
        <v>45</v>
      </c>
      <c r="F412" s="74">
        <f>2400*(1+E5)</f>
        <v>2400</v>
      </c>
      <c r="G412" s="74">
        <f>2800*(1+E5)</f>
        <v>2800</v>
      </c>
    </row>
    <row r="413" spans="1:7" ht="27.6" x14ac:dyDescent="0.25">
      <c r="A413" s="101" t="s">
        <v>42</v>
      </c>
      <c r="B413" s="198"/>
      <c r="C413" s="74"/>
      <c r="D413" s="74" t="s">
        <v>4</v>
      </c>
      <c r="E413" s="11" t="s">
        <v>74</v>
      </c>
      <c r="F413" s="74">
        <f>2250*(1+E5)</f>
        <v>2250</v>
      </c>
      <c r="G413" s="74">
        <f>2550*(1+E5)</f>
        <v>2550</v>
      </c>
    </row>
    <row r="414" spans="1:7" ht="27.6" x14ac:dyDescent="0.25">
      <c r="A414" s="101" t="s">
        <v>44</v>
      </c>
      <c r="B414" s="198"/>
      <c r="C414" s="74"/>
      <c r="D414" s="74" t="s">
        <v>4</v>
      </c>
      <c r="E414" s="11" t="s">
        <v>76</v>
      </c>
      <c r="F414" s="74">
        <f>2750*(1+E5)</f>
        <v>2750</v>
      </c>
      <c r="G414" s="74">
        <f>3150*(1+E5)</f>
        <v>3150</v>
      </c>
    </row>
    <row r="415" spans="1:7" s="10" customFormat="1" x14ac:dyDescent="0.25">
      <c r="A415" s="101" t="s">
        <v>335</v>
      </c>
      <c r="B415" s="198"/>
      <c r="C415" s="74"/>
      <c r="D415" s="74" t="s">
        <v>299</v>
      </c>
      <c r="E415" s="83" t="s">
        <v>43</v>
      </c>
      <c r="F415" s="74">
        <f>1750*(1+E5)</f>
        <v>1750</v>
      </c>
      <c r="G415" s="74">
        <f>2050*(1+E5)</f>
        <v>2050</v>
      </c>
    </row>
    <row r="416" spans="1:7" s="10" customFormat="1" x14ac:dyDescent="0.25">
      <c r="A416" s="101" t="s">
        <v>336</v>
      </c>
      <c r="B416" s="198"/>
      <c r="C416" s="74"/>
      <c r="D416" s="74" t="s">
        <v>299</v>
      </c>
      <c r="E416" s="83" t="s">
        <v>45</v>
      </c>
      <c r="F416" s="74">
        <f>2350*(1+E5)</f>
        <v>2350</v>
      </c>
      <c r="G416" s="74">
        <f>2750*(1+E5)</f>
        <v>2750</v>
      </c>
    </row>
    <row r="417" spans="1:7" s="10" customFormat="1" x14ac:dyDescent="0.25">
      <c r="A417" s="101" t="s">
        <v>337</v>
      </c>
      <c r="B417" s="198"/>
      <c r="C417" s="74"/>
      <c r="D417" s="74" t="s">
        <v>299</v>
      </c>
      <c r="E417" s="83" t="s">
        <v>295</v>
      </c>
      <c r="F417" s="74">
        <f>1400*(1+E5)</f>
        <v>1400</v>
      </c>
      <c r="G417" s="74">
        <f>1500*(1+E5)</f>
        <v>1500</v>
      </c>
    </row>
    <row r="418" spans="1:7" s="10" customFormat="1" x14ac:dyDescent="0.25">
      <c r="A418" s="230" t="s">
        <v>42</v>
      </c>
      <c r="B418" s="198"/>
      <c r="C418" s="74"/>
      <c r="D418" s="74" t="s">
        <v>401</v>
      </c>
      <c r="E418" s="166" t="s">
        <v>75</v>
      </c>
      <c r="F418" s="74">
        <f>4100*(1+E5)</f>
        <v>4100</v>
      </c>
      <c r="G418" s="74">
        <f>4700*(1+E5)</f>
        <v>4700</v>
      </c>
    </row>
    <row r="419" spans="1:7" x14ac:dyDescent="0.25">
      <c r="A419" s="264"/>
      <c r="B419" s="198"/>
      <c r="C419" s="74"/>
      <c r="D419" s="74" t="s">
        <v>402</v>
      </c>
      <c r="E419" s="153"/>
      <c r="F419" s="74">
        <f>4300*(1+E5)</f>
        <v>4300</v>
      </c>
      <c r="G419" s="74">
        <f>4900*(1+E5)</f>
        <v>4900</v>
      </c>
    </row>
    <row r="420" spans="1:7" x14ac:dyDescent="0.25">
      <c r="A420" s="230" t="s">
        <v>44</v>
      </c>
      <c r="B420" s="198"/>
      <c r="C420" s="74"/>
      <c r="D420" s="74" t="s">
        <v>401</v>
      </c>
      <c r="E420" s="166" t="s">
        <v>77</v>
      </c>
      <c r="F420" s="74">
        <f>5800*(1+E5)</f>
        <v>5800</v>
      </c>
      <c r="G420" s="74">
        <f>6700*(1+E5)</f>
        <v>6700</v>
      </c>
    </row>
    <row r="421" spans="1:7" x14ac:dyDescent="0.25">
      <c r="A421" s="264"/>
      <c r="B421" s="198"/>
      <c r="C421" s="74"/>
      <c r="D421" s="74" t="s">
        <v>402</v>
      </c>
      <c r="E421" s="153"/>
      <c r="F421" s="74">
        <f>6000*(1+E5)</f>
        <v>6000</v>
      </c>
      <c r="G421" s="74">
        <f>6900*(1+E5)</f>
        <v>6900</v>
      </c>
    </row>
    <row r="422" spans="1:7" ht="27.6" x14ac:dyDescent="0.25">
      <c r="A422" s="101" t="s">
        <v>46</v>
      </c>
      <c r="B422" s="198"/>
      <c r="C422" s="74"/>
      <c r="D422" s="74"/>
      <c r="E422" s="11" t="s">
        <v>47</v>
      </c>
      <c r="F422" s="74">
        <f>3100*(1+E5)</f>
        <v>3100</v>
      </c>
      <c r="G422" s="74">
        <f>3600*(1+E5)</f>
        <v>3600</v>
      </c>
    </row>
    <row r="423" spans="1:7" x14ac:dyDescent="0.25">
      <c r="A423" s="230" t="s">
        <v>37</v>
      </c>
      <c r="B423" s="198"/>
      <c r="C423" s="74" t="s">
        <v>38</v>
      </c>
      <c r="D423" s="74"/>
      <c r="E423" s="166" t="s">
        <v>388</v>
      </c>
      <c r="F423" s="74">
        <f>1500*(1+E5)</f>
        <v>1500</v>
      </c>
      <c r="G423" s="74">
        <f>1700*(1+E5)</f>
        <v>1700</v>
      </c>
    </row>
    <row r="424" spans="1:7" x14ac:dyDescent="0.25">
      <c r="A424" s="264"/>
      <c r="B424" s="174"/>
      <c r="C424" s="93" t="s">
        <v>109</v>
      </c>
      <c r="D424" s="74"/>
      <c r="E424" s="153"/>
      <c r="F424" s="74">
        <f>2000*(1+E5)</f>
        <v>2000</v>
      </c>
      <c r="G424" s="74">
        <f>2300*(1+E5)</f>
        <v>2300</v>
      </c>
    </row>
    <row r="425" spans="1:7" x14ac:dyDescent="0.25">
      <c r="A425" s="101" t="s">
        <v>42</v>
      </c>
      <c r="B425" s="197" t="s">
        <v>8</v>
      </c>
      <c r="C425" s="74"/>
      <c r="D425" s="74" t="s">
        <v>5</v>
      </c>
      <c r="E425" s="11" t="s">
        <v>43</v>
      </c>
      <c r="F425" s="74">
        <f>1650*(1+E5)</f>
        <v>1650</v>
      </c>
      <c r="G425" s="74" t="s">
        <v>71</v>
      </c>
    </row>
    <row r="426" spans="1:7" x14ac:dyDescent="0.25">
      <c r="A426" s="101" t="s">
        <v>44</v>
      </c>
      <c r="B426" s="265"/>
      <c r="C426" s="74"/>
      <c r="D426" s="74" t="s">
        <v>5</v>
      </c>
      <c r="E426" s="11" t="s">
        <v>45</v>
      </c>
      <c r="F426" s="74">
        <f>2200*(1+E5)</f>
        <v>2200</v>
      </c>
      <c r="G426" s="74" t="s">
        <v>71</v>
      </c>
    </row>
    <row r="427" spans="1:7" ht="27.6" x14ac:dyDescent="0.25">
      <c r="A427" s="101" t="s">
        <v>42</v>
      </c>
      <c r="B427" s="265"/>
      <c r="C427" s="74"/>
      <c r="D427" s="74" t="s">
        <v>4</v>
      </c>
      <c r="E427" s="11" t="s">
        <v>74</v>
      </c>
      <c r="F427" s="74">
        <f>2050*(1+E5)</f>
        <v>2050</v>
      </c>
      <c r="G427" s="74" t="s">
        <v>71</v>
      </c>
    </row>
    <row r="428" spans="1:7" ht="27.6" x14ac:dyDescent="0.25">
      <c r="A428" s="101" t="s">
        <v>44</v>
      </c>
      <c r="B428" s="265"/>
      <c r="C428" s="74"/>
      <c r="D428" s="74" t="s">
        <v>4</v>
      </c>
      <c r="E428" s="11" t="s">
        <v>76</v>
      </c>
      <c r="F428" s="74">
        <f>2500*(1+E5)</f>
        <v>2500</v>
      </c>
      <c r="G428" s="74" t="s">
        <v>71</v>
      </c>
    </row>
    <row r="429" spans="1:7" s="10" customFormat="1" x14ac:dyDescent="0.25">
      <c r="A429" s="101" t="s">
        <v>335</v>
      </c>
      <c r="B429" s="265"/>
      <c r="C429" s="74"/>
      <c r="D429" s="74" t="s">
        <v>299</v>
      </c>
      <c r="E429" s="83" t="s">
        <v>43</v>
      </c>
      <c r="F429" s="74">
        <f>1600*(1+E5)</f>
        <v>1600</v>
      </c>
      <c r="G429" s="74" t="s">
        <v>71</v>
      </c>
    </row>
    <row r="430" spans="1:7" s="10" customFormat="1" x14ac:dyDescent="0.25">
      <c r="A430" s="101" t="s">
        <v>336</v>
      </c>
      <c r="B430" s="265"/>
      <c r="C430" s="74"/>
      <c r="D430" s="74" t="s">
        <v>299</v>
      </c>
      <c r="E430" s="83" t="s">
        <v>45</v>
      </c>
      <c r="F430" s="74">
        <f>2000*(1+E5)</f>
        <v>2000</v>
      </c>
      <c r="G430" s="74" t="s">
        <v>71</v>
      </c>
    </row>
    <row r="431" spans="1:7" s="10" customFormat="1" x14ac:dyDescent="0.25">
      <c r="A431" s="101" t="s">
        <v>337</v>
      </c>
      <c r="B431" s="265"/>
      <c r="C431" s="74"/>
      <c r="D431" s="74" t="s">
        <v>299</v>
      </c>
      <c r="E431" s="83" t="s">
        <v>295</v>
      </c>
      <c r="F431" s="74">
        <f>1250*(1+E5)</f>
        <v>1250</v>
      </c>
      <c r="G431" s="74" t="s">
        <v>71</v>
      </c>
    </row>
    <row r="432" spans="1:7" x14ac:dyDescent="0.25">
      <c r="A432" s="230" t="s">
        <v>42</v>
      </c>
      <c r="B432" s="265"/>
      <c r="C432" s="74"/>
      <c r="D432" s="74" t="s">
        <v>401</v>
      </c>
      <c r="E432" s="166" t="s">
        <v>75</v>
      </c>
      <c r="F432" s="74">
        <f>3750*(1+E5)</f>
        <v>3750</v>
      </c>
      <c r="G432" s="74" t="s">
        <v>71</v>
      </c>
    </row>
    <row r="433" spans="1:7" x14ac:dyDescent="0.25">
      <c r="A433" s="264"/>
      <c r="B433" s="265"/>
      <c r="C433" s="74"/>
      <c r="D433" s="74" t="s">
        <v>402</v>
      </c>
      <c r="E433" s="153"/>
      <c r="F433" s="74">
        <f>3900*(1+E5)</f>
        <v>3900</v>
      </c>
      <c r="G433" s="74" t="s">
        <v>71</v>
      </c>
    </row>
    <row r="434" spans="1:7" x14ac:dyDescent="0.25">
      <c r="A434" s="230" t="s">
        <v>44</v>
      </c>
      <c r="B434" s="265"/>
      <c r="C434" s="74"/>
      <c r="D434" s="74" t="s">
        <v>401</v>
      </c>
      <c r="E434" s="166" t="s">
        <v>77</v>
      </c>
      <c r="F434" s="74">
        <f>5350*(1+E5)</f>
        <v>5350</v>
      </c>
      <c r="G434" s="74" t="s">
        <v>71</v>
      </c>
    </row>
    <row r="435" spans="1:7" x14ac:dyDescent="0.25">
      <c r="A435" s="264"/>
      <c r="B435" s="265"/>
      <c r="C435" s="74"/>
      <c r="D435" s="74" t="s">
        <v>402</v>
      </c>
      <c r="E435" s="153"/>
      <c r="F435" s="74">
        <f>5500*(1+E5)</f>
        <v>5500</v>
      </c>
      <c r="G435" s="74" t="s">
        <v>71</v>
      </c>
    </row>
    <row r="436" spans="1:7" ht="27.6" x14ac:dyDescent="0.25">
      <c r="A436" s="101" t="s">
        <v>46</v>
      </c>
      <c r="B436" s="265"/>
      <c r="C436" s="74"/>
      <c r="D436" s="74"/>
      <c r="E436" s="11" t="s">
        <v>463</v>
      </c>
      <c r="F436" s="74">
        <f>2700*(1+E5)</f>
        <v>2700</v>
      </c>
      <c r="G436" s="74" t="s">
        <v>71</v>
      </c>
    </row>
    <row r="437" spans="1:7" x14ac:dyDescent="0.25">
      <c r="A437" s="230" t="s">
        <v>37</v>
      </c>
      <c r="B437" s="152"/>
      <c r="C437" s="74" t="s">
        <v>38</v>
      </c>
      <c r="D437" s="74"/>
      <c r="E437" s="166" t="s">
        <v>388</v>
      </c>
      <c r="F437" s="74">
        <f>1400*(1+E5)</f>
        <v>1400</v>
      </c>
      <c r="G437" s="74" t="s">
        <v>71</v>
      </c>
    </row>
    <row r="438" spans="1:7" x14ac:dyDescent="0.25">
      <c r="A438" s="264"/>
      <c r="B438" s="153"/>
      <c r="C438" s="93" t="s">
        <v>109</v>
      </c>
      <c r="D438" s="74"/>
      <c r="E438" s="153"/>
      <c r="F438" s="74">
        <f>1850*(1+E5)</f>
        <v>1850</v>
      </c>
      <c r="G438" s="74" t="s">
        <v>71</v>
      </c>
    </row>
    <row r="439" spans="1:7" x14ac:dyDescent="0.25">
      <c r="A439" s="250" t="s">
        <v>140</v>
      </c>
      <c r="B439" s="74" t="s">
        <v>1</v>
      </c>
      <c r="C439" s="172">
        <v>400</v>
      </c>
      <c r="D439" s="155" t="s">
        <v>5</v>
      </c>
      <c r="E439" s="166" t="s">
        <v>388</v>
      </c>
      <c r="F439" s="74">
        <f>2200*(1+E5)</f>
        <v>2200</v>
      </c>
      <c r="G439" s="74">
        <f>2500*(1+E5)</f>
        <v>2500</v>
      </c>
    </row>
    <row r="440" spans="1:7" x14ac:dyDescent="0.25">
      <c r="A440" s="251"/>
      <c r="B440" s="90" t="s">
        <v>8</v>
      </c>
      <c r="C440" s="254"/>
      <c r="D440" s="167"/>
      <c r="E440" s="152"/>
      <c r="F440" s="74">
        <f>2000*(1+E5)</f>
        <v>2000</v>
      </c>
      <c r="G440" s="74" t="s">
        <v>71</v>
      </c>
    </row>
    <row r="441" spans="1:7" x14ac:dyDescent="0.25">
      <c r="A441" s="252"/>
      <c r="B441" s="74" t="s">
        <v>1</v>
      </c>
      <c r="C441" s="172">
        <v>600</v>
      </c>
      <c r="D441" s="168"/>
      <c r="E441" s="152"/>
      <c r="F441" s="74">
        <f>2500*(1+E5)</f>
        <v>2500</v>
      </c>
      <c r="G441" s="74">
        <f>2900*(1+E5)</f>
        <v>2900</v>
      </c>
    </row>
    <row r="442" spans="1:7" x14ac:dyDescent="0.25">
      <c r="A442" s="252"/>
      <c r="B442" s="90" t="s">
        <v>8</v>
      </c>
      <c r="C442" s="254"/>
      <c r="D442" s="168"/>
      <c r="E442" s="152"/>
      <c r="F442" s="74">
        <f>2300*(1+E5)</f>
        <v>2300</v>
      </c>
      <c r="G442" s="74" t="s">
        <v>71</v>
      </c>
    </row>
    <row r="443" spans="1:7" x14ac:dyDescent="0.25">
      <c r="A443" s="252"/>
      <c r="B443" s="74" t="s">
        <v>1</v>
      </c>
      <c r="C443" s="172">
        <v>700</v>
      </c>
      <c r="D443" s="168"/>
      <c r="E443" s="152"/>
      <c r="F443" s="74">
        <f>2700*(1+E5)</f>
        <v>2700</v>
      </c>
      <c r="G443" s="74">
        <f>3100*(1+E5)</f>
        <v>3100</v>
      </c>
    </row>
    <row r="444" spans="1:7" x14ac:dyDescent="0.25">
      <c r="A444" s="252"/>
      <c r="B444" s="90" t="s">
        <v>8</v>
      </c>
      <c r="C444" s="254"/>
      <c r="D444" s="168"/>
      <c r="E444" s="152"/>
      <c r="F444" s="74">
        <f>2500*(1+E5)</f>
        <v>2500</v>
      </c>
      <c r="G444" s="74" t="s">
        <v>71</v>
      </c>
    </row>
    <row r="445" spans="1:7" x14ac:dyDescent="0.25">
      <c r="A445" s="252"/>
      <c r="B445" s="74" t="s">
        <v>1</v>
      </c>
      <c r="C445" s="172">
        <v>800</v>
      </c>
      <c r="D445" s="168"/>
      <c r="E445" s="152"/>
      <c r="F445" s="74">
        <f>2800*(1+E5)</f>
        <v>2800</v>
      </c>
      <c r="G445" s="74">
        <f>3200*(1+E5)</f>
        <v>3200</v>
      </c>
    </row>
    <row r="446" spans="1:7" x14ac:dyDescent="0.25">
      <c r="A446" s="252"/>
      <c r="B446" s="90" t="s">
        <v>8</v>
      </c>
      <c r="C446" s="254"/>
      <c r="D446" s="168"/>
      <c r="E446" s="152"/>
      <c r="F446" s="74">
        <f>2600*(1+E5)</f>
        <v>2600</v>
      </c>
      <c r="G446" s="74" t="s">
        <v>71</v>
      </c>
    </row>
    <row r="447" spans="1:7" x14ac:dyDescent="0.25">
      <c r="A447" s="252"/>
      <c r="B447" s="74" t="s">
        <v>1</v>
      </c>
      <c r="C447" s="172">
        <v>900</v>
      </c>
      <c r="D447" s="168"/>
      <c r="E447" s="152"/>
      <c r="F447" s="74">
        <f>3000*(1+E5)</f>
        <v>3000</v>
      </c>
      <c r="G447" s="74">
        <f>3400*(1+E5)</f>
        <v>3400</v>
      </c>
    </row>
    <row r="448" spans="1:7" x14ac:dyDescent="0.25">
      <c r="A448" s="253"/>
      <c r="B448" s="90" t="s">
        <v>8</v>
      </c>
      <c r="C448" s="254"/>
      <c r="D448" s="156"/>
      <c r="E448" s="153"/>
      <c r="F448" s="74">
        <f>2800*(1+E5)</f>
        <v>2800</v>
      </c>
      <c r="G448" s="74" t="s">
        <v>71</v>
      </c>
    </row>
    <row r="449" spans="1:7" x14ac:dyDescent="0.25">
      <c r="A449" s="250" t="s">
        <v>138</v>
      </c>
      <c r="B449" s="74" t="s">
        <v>1</v>
      </c>
      <c r="C449" s="172"/>
      <c r="D449" s="155" t="s">
        <v>5</v>
      </c>
      <c r="E449" s="242" t="s">
        <v>444</v>
      </c>
      <c r="F449" s="74">
        <f>800*(1+E5)</f>
        <v>800</v>
      </c>
      <c r="G449" s="74">
        <f>900*(1+E5)</f>
        <v>900</v>
      </c>
    </row>
    <row r="450" spans="1:7" x14ac:dyDescent="0.25">
      <c r="A450" s="262"/>
      <c r="B450" s="90" t="s">
        <v>8</v>
      </c>
      <c r="C450" s="156"/>
      <c r="D450" s="244"/>
      <c r="E450" s="243"/>
      <c r="F450" s="74">
        <f>700*(1+E5)</f>
        <v>700</v>
      </c>
      <c r="G450" s="74" t="s">
        <v>71</v>
      </c>
    </row>
    <row r="451" spans="1:7" x14ac:dyDescent="0.25">
      <c r="A451" s="250" t="s">
        <v>137</v>
      </c>
      <c r="B451" s="74" t="s">
        <v>1</v>
      </c>
      <c r="C451" s="172"/>
      <c r="D451" s="155" t="s">
        <v>5</v>
      </c>
      <c r="E451" s="242" t="s">
        <v>445</v>
      </c>
      <c r="F451" s="74">
        <f>800*(1+E5)</f>
        <v>800</v>
      </c>
      <c r="G451" s="74">
        <f>900*(1+E5)</f>
        <v>900</v>
      </c>
    </row>
    <row r="452" spans="1:7" x14ac:dyDescent="0.25">
      <c r="A452" s="262"/>
      <c r="B452" s="90" t="s">
        <v>8</v>
      </c>
      <c r="C452" s="156"/>
      <c r="D452" s="244"/>
      <c r="E452" s="243"/>
      <c r="F452" s="74">
        <f>700*(1+E5)</f>
        <v>700</v>
      </c>
      <c r="G452" s="74" t="s">
        <v>71</v>
      </c>
    </row>
    <row r="453" spans="1:7" x14ac:dyDescent="0.25">
      <c r="A453" s="250" t="s">
        <v>488</v>
      </c>
      <c r="B453" s="74" t="s">
        <v>1</v>
      </c>
      <c r="C453" s="172"/>
      <c r="D453" s="155" t="s">
        <v>5</v>
      </c>
      <c r="E453" s="242" t="s">
        <v>446</v>
      </c>
      <c r="F453" s="74">
        <f>3500*(1+E5)</f>
        <v>3500</v>
      </c>
      <c r="G453" s="74">
        <f>4000*(1+E5)</f>
        <v>4000</v>
      </c>
    </row>
    <row r="454" spans="1:7" x14ac:dyDescent="0.25">
      <c r="A454" s="262"/>
      <c r="B454" s="90" t="s">
        <v>8</v>
      </c>
      <c r="C454" s="156"/>
      <c r="D454" s="244"/>
      <c r="E454" s="243"/>
      <c r="F454" s="74">
        <f>3250*(1+E5)</f>
        <v>3250</v>
      </c>
      <c r="G454" s="74" t="s">
        <v>71</v>
      </c>
    </row>
    <row r="455" spans="1:7" x14ac:dyDescent="0.25">
      <c r="A455" s="250" t="s">
        <v>489</v>
      </c>
      <c r="B455" s="137" t="s">
        <v>1</v>
      </c>
      <c r="C455" s="172"/>
      <c r="D455" s="155" t="s">
        <v>5</v>
      </c>
      <c r="E455" s="242" t="s">
        <v>490</v>
      </c>
      <c r="F455" s="137">
        <f>2200*(1+E5)</f>
        <v>2200</v>
      </c>
      <c r="G455" s="137">
        <f>2500*(1+E5)</f>
        <v>2500</v>
      </c>
    </row>
    <row r="456" spans="1:7" x14ac:dyDescent="0.25">
      <c r="A456" s="262"/>
      <c r="B456" s="138" t="s">
        <v>8</v>
      </c>
      <c r="C456" s="156"/>
      <c r="D456" s="244"/>
      <c r="E456" s="243"/>
      <c r="F456" s="137">
        <f>2000*(1+E5)</f>
        <v>2000</v>
      </c>
      <c r="G456" s="137" t="s">
        <v>71</v>
      </c>
    </row>
    <row r="457" spans="1:7" x14ac:dyDescent="0.25">
      <c r="A457" s="250" t="s">
        <v>139</v>
      </c>
      <c r="B457" s="74" t="s">
        <v>1</v>
      </c>
      <c r="C457" s="172"/>
      <c r="D457" s="155" t="s">
        <v>5</v>
      </c>
      <c r="E457" s="242" t="s">
        <v>447</v>
      </c>
      <c r="F457" s="74">
        <f>800*(1+E5)</f>
        <v>800</v>
      </c>
      <c r="G457" s="74">
        <f>900*(1+E5)</f>
        <v>900</v>
      </c>
    </row>
    <row r="458" spans="1:7" x14ac:dyDescent="0.25">
      <c r="A458" s="262"/>
      <c r="B458" s="90" t="s">
        <v>8</v>
      </c>
      <c r="C458" s="156"/>
      <c r="D458" s="244"/>
      <c r="E458" s="243"/>
      <c r="F458" s="74">
        <f>700*(1+E5)</f>
        <v>700</v>
      </c>
      <c r="G458" s="74" t="s">
        <v>71</v>
      </c>
    </row>
    <row r="459" spans="1:7" x14ac:dyDescent="0.25">
      <c r="A459" s="250" t="s">
        <v>450</v>
      </c>
      <c r="B459" s="74" t="s">
        <v>1</v>
      </c>
      <c r="C459" s="172"/>
      <c r="D459" s="155" t="s">
        <v>5</v>
      </c>
      <c r="E459" s="242" t="s">
        <v>448</v>
      </c>
      <c r="F459" s="74">
        <f>1800*(1+E5)</f>
        <v>1800</v>
      </c>
      <c r="G459" s="74">
        <f>2000*(1+E5)</f>
        <v>2000</v>
      </c>
    </row>
    <row r="460" spans="1:7" x14ac:dyDescent="0.25">
      <c r="A460" s="262"/>
      <c r="B460" s="90" t="s">
        <v>8</v>
      </c>
      <c r="C460" s="156"/>
      <c r="D460" s="244"/>
      <c r="E460" s="263"/>
      <c r="F460" s="74">
        <f>1500*(1+E5)</f>
        <v>1500</v>
      </c>
      <c r="G460" s="74" t="s">
        <v>71</v>
      </c>
    </row>
    <row r="461" spans="1:7" x14ac:dyDescent="0.25">
      <c r="A461" s="250" t="s">
        <v>451</v>
      </c>
      <c r="B461" s="74" t="s">
        <v>1</v>
      </c>
      <c r="C461" s="172"/>
      <c r="D461" s="155" t="s">
        <v>5</v>
      </c>
      <c r="E461" s="152"/>
      <c r="F461" s="74">
        <f>4000*(1+E5)</f>
        <v>4000</v>
      </c>
      <c r="G461" s="74">
        <f>4400*(1+E5)</f>
        <v>4400</v>
      </c>
    </row>
    <row r="462" spans="1:7" x14ac:dyDescent="0.25">
      <c r="A462" s="262"/>
      <c r="B462" s="90" t="s">
        <v>8</v>
      </c>
      <c r="C462" s="156"/>
      <c r="D462" s="244"/>
      <c r="E462" s="153"/>
      <c r="F462" s="74">
        <f>3300*(1+E5)</f>
        <v>3300</v>
      </c>
      <c r="G462" s="74" t="s">
        <v>71</v>
      </c>
    </row>
    <row r="463" spans="1:7" x14ac:dyDescent="0.25">
      <c r="A463" s="258" t="s">
        <v>452</v>
      </c>
      <c r="B463" s="74" t="s">
        <v>1</v>
      </c>
      <c r="C463" s="172"/>
      <c r="D463" s="155" t="s">
        <v>5</v>
      </c>
      <c r="E463" s="172" t="s">
        <v>449</v>
      </c>
      <c r="F463" s="74">
        <f>1500*(1+E5)</f>
        <v>1500</v>
      </c>
      <c r="G463" s="74">
        <f>2000*(1+E5)</f>
        <v>2000</v>
      </c>
    </row>
    <row r="464" spans="1:7" x14ac:dyDescent="0.25">
      <c r="A464" s="259"/>
      <c r="B464" s="90" t="s">
        <v>8</v>
      </c>
      <c r="C464" s="156"/>
      <c r="D464" s="244"/>
      <c r="E464" s="173"/>
      <c r="F464" s="74">
        <f>1300*(1+E5)</f>
        <v>1300</v>
      </c>
      <c r="G464" s="74" t="s">
        <v>71</v>
      </c>
    </row>
    <row r="465" spans="1:7" x14ac:dyDescent="0.25">
      <c r="A465" s="258" t="s">
        <v>453</v>
      </c>
      <c r="B465" s="74" t="s">
        <v>1</v>
      </c>
      <c r="C465" s="172"/>
      <c r="D465" s="155" t="s">
        <v>5</v>
      </c>
      <c r="E465" s="168"/>
      <c r="F465" s="74">
        <f>2800*(1+E5)</f>
        <v>2800</v>
      </c>
      <c r="G465" s="74">
        <f>3100*(1+E5)</f>
        <v>3100</v>
      </c>
    </row>
    <row r="466" spans="1:7" x14ac:dyDescent="0.25">
      <c r="A466" s="259"/>
      <c r="B466" s="90" t="s">
        <v>8</v>
      </c>
      <c r="C466" s="156"/>
      <c r="D466" s="244"/>
      <c r="E466" s="156"/>
      <c r="F466" s="74">
        <f>2300*(1+E5)</f>
        <v>2300</v>
      </c>
      <c r="G466" s="74" t="s">
        <v>71</v>
      </c>
    </row>
    <row r="467" spans="1:7" x14ac:dyDescent="0.25">
      <c r="A467" s="260" t="s">
        <v>456</v>
      </c>
      <c r="B467" s="74" t="s">
        <v>1</v>
      </c>
      <c r="C467" s="172"/>
      <c r="D467" s="155" t="s">
        <v>5</v>
      </c>
      <c r="E467" s="174" t="s">
        <v>457</v>
      </c>
      <c r="F467" s="74">
        <f>2000*(1+E5)</f>
        <v>2000</v>
      </c>
      <c r="G467" s="74">
        <f>2300*(1+E5)</f>
        <v>2300</v>
      </c>
    </row>
    <row r="468" spans="1:7" x14ac:dyDescent="0.25">
      <c r="A468" s="261"/>
      <c r="B468" s="90" t="s">
        <v>8</v>
      </c>
      <c r="C468" s="156"/>
      <c r="D468" s="244"/>
      <c r="E468" s="175"/>
      <c r="F468" s="74">
        <f>1850*(1+E5)</f>
        <v>1850</v>
      </c>
      <c r="G468" s="74" t="s">
        <v>71</v>
      </c>
    </row>
    <row r="469" spans="1:7" x14ac:dyDescent="0.25">
      <c r="A469" s="260" t="s">
        <v>455</v>
      </c>
      <c r="B469" s="74" t="s">
        <v>1</v>
      </c>
      <c r="C469" s="172"/>
      <c r="D469" s="155" t="s">
        <v>5</v>
      </c>
      <c r="E469" s="174" t="s">
        <v>454</v>
      </c>
      <c r="F469" s="74">
        <f>4000*(1+E5)</f>
        <v>4000</v>
      </c>
      <c r="G469" s="74">
        <f>4400*(1+E5)</f>
        <v>4400</v>
      </c>
    </row>
    <row r="470" spans="1:7" x14ac:dyDescent="0.25">
      <c r="A470" s="261"/>
      <c r="B470" s="90" t="s">
        <v>8</v>
      </c>
      <c r="C470" s="156"/>
      <c r="D470" s="244"/>
      <c r="E470" s="175"/>
      <c r="F470" s="74">
        <f>3600*(1+E5)</f>
        <v>3600</v>
      </c>
      <c r="G470" s="74" t="s">
        <v>71</v>
      </c>
    </row>
    <row r="471" spans="1:7" x14ac:dyDescent="0.25">
      <c r="A471" s="125"/>
      <c r="B471" s="90"/>
      <c r="C471" s="90"/>
      <c r="D471" s="126"/>
      <c r="E471" s="127"/>
      <c r="F471" s="74"/>
      <c r="G471" s="74"/>
    </row>
    <row r="472" spans="1:7" ht="27.6" x14ac:dyDescent="0.25">
      <c r="A472" s="21" t="s">
        <v>22</v>
      </c>
      <c r="B472" s="81" t="s">
        <v>23</v>
      </c>
      <c r="C472" s="81" t="s">
        <v>24</v>
      </c>
      <c r="D472" s="81" t="s">
        <v>25</v>
      </c>
      <c r="E472" s="6" t="s">
        <v>26</v>
      </c>
      <c r="F472" s="6" t="s">
        <v>124</v>
      </c>
      <c r="G472" s="94" t="s">
        <v>113</v>
      </c>
    </row>
    <row r="473" spans="1:7" ht="17.399999999999999" x14ac:dyDescent="0.25">
      <c r="A473" s="223" t="s">
        <v>473</v>
      </c>
      <c r="B473" s="223"/>
      <c r="C473" s="223"/>
      <c r="D473" s="223"/>
      <c r="E473" s="223"/>
      <c r="F473" s="223"/>
      <c r="G473" s="223"/>
    </row>
    <row r="474" spans="1:7" x14ac:dyDescent="0.25">
      <c r="A474" s="272" t="s">
        <v>15</v>
      </c>
      <c r="B474" s="256" t="s">
        <v>1</v>
      </c>
      <c r="C474" s="170" t="s">
        <v>2</v>
      </c>
      <c r="D474" s="89" t="s">
        <v>82</v>
      </c>
      <c r="E474" s="54" t="s">
        <v>483</v>
      </c>
      <c r="F474" s="77">
        <f>4400*(1+E5)</f>
        <v>4400</v>
      </c>
      <c r="G474" s="7">
        <f>5000*(1+E5)</f>
        <v>5000</v>
      </c>
    </row>
    <row r="475" spans="1:7" ht="27.6" x14ac:dyDescent="0.25">
      <c r="A475" s="272"/>
      <c r="B475" s="256"/>
      <c r="C475" s="171"/>
      <c r="D475" s="100" t="s">
        <v>299</v>
      </c>
      <c r="E475" s="54" t="s">
        <v>484</v>
      </c>
      <c r="F475" s="77">
        <f>4800*(1+E5)</f>
        <v>4800</v>
      </c>
      <c r="G475" s="7">
        <f>5500*(1+E5)</f>
        <v>5500</v>
      </c>
    </row>
    <row r="476" spans="1:7" ht="27.6" x14ac:dyDescent="0.25">
      <c r="A476" s="272"/>
      <c r="B476" s="256"/>
      <c r="C476" s="171"/>
      <c r="D476" s="46" t="s">
        <v>4</v>
      </c>
      <c r="E476" s="54" t="s">
        <v>485</v>
      </c>
      <c r="F476" s="77">
        <f>5000*(1+E5)</f>
        <v>5000</v>
      </c>
      <c r="G476" s="7">
        <f>5750*(1+E5)</f>
        <v>5750</v>
      </c>
    </row>
    <row r="477" spans="1:7" x14ac:dyDescent="0.25">
      <c r="A477" s="272"/>
      <c r="B477" s="256"/>
      <c r="C477" s="171"/>
      <c r="D477" s="46" t="s">
        <v>401</v>
      </c>
      <c r="E477" s="158" t="s">
        <v>486</v>
      </c>
      <c r="F477" s="98">
        <f>5200*(1+E5)</f>
        <v>5200</v>
      </c>
      <c r="G477" s="90">
        <f>5500*(1+E5)</f>
        <v>5500</v>
      </c>
    </row>
    <row r="478" spans="1:7" x14ac:dyDescent="0.25">
      <c r="A478" s="193"/>
      <c r="B478" s="203"/>
      <c r="C478" s="171"/>
      <c r="D478" s="46" t="s">
        <v>402</v>
      </c>
      <c r="E478" s="159"/>
      <c r="F478" s="98">
        <f>5300*(1+E5)</f>
        <v>5300</v>
      </c>
      <c r="G478" s="90">
        <f>5600*(1+E5)</f>
        <v>5600</v>
      </c>
    </row>
    <row r="479" spans="1:7" x14ac:dyDescent="0.25">
      <c r="A479" s="193"/>
      <c r="B479" s="257" t="s">
        <v>8</v>
      </c>
      <c r="C479" s="164" t="s">
        <v>2</v>
      </c>
      <c r="D479" s="79" t="s">
        <v>82</v>
      </c>
      <c r="E479" s="54" t="s">
        <v>483</v>
      </c>
      <c r="F479" s="98">
        <f>4100*(1+E5)</f>
        <v>4100</v>
      </c>
      <c r="G479" s="90" t="s">
        <v>71</v>
      </c>
    </row>
    <row r="480" spans="1:7" ht="27.6" x14ac:dyDescent="0.25">
      <c r="A480" s="193"/>
      <c r="B480" s="257"/>
      <c r="C480" s="165"/>
      <c r="D480" s="100" t="s">
        <v>299</v>
      </c>
      <c r="E480" s="54" t="s">
        <v>484</v>
      </c>
      <c r="F480" s="98">
        <f>4400*(1+E5)</f>
        <v>4400</v>
      </c>
      <c r="G480" s="90" t="s">
        <v>71</v>
      </c>
    </row>
    <row r="481" spans="1:7" ht="27.6" x14ac:dyDescent="0.25">
      <c r="A481" s="193"/>
      <c r="B481" s="257"/>
      <c r="C481" s="165"/>
      <c r="D481" s="55" t="s">
        <v>4</v>
      </c>
      <c r="E481" s="54" t="s">
        <v>485</v>
      </c>
      <c r="F481" s="98">
        <f>4600*(1+E5)</f>
        <v>4600</v>
      </c>
      <c r="G481" s="90" t="s">
        <v>71</v>
      </c>
    </row>
    <row r="482" spans="1:7" x14ac:dyDescent="0.25">
      <c r="A482" s="193"/>
      <c r="B482" s="257"/>
      <c r="C482" s="165"/>
      <c r="D482" s="46" t="s">
        <v>401</v>
      </c>
      <c r="E482" s="158" t="s">
        <v>486</v>
      </c>
      <c r="F482" s="98">
        <f>4500*(1+E5)</f>
        <v>4500</v>
      </c>
      <c r="G482" s="90" t="s">
        <v>71</v>
      </c>
    </row>
    <row r="483" spans="1:7" x14ac:dyDescent="0.25">
      <c r="A483" s="193"/>
      <c r="B483" s="257"/>
      <c r="C483" s="165"/>
      <c r="D483" s="46" t="s">
        <v>402</v>
      </c>
      <c r="E483" s="159"/>
      <c r="F483" s="98">
        <f>4600*(1+E5)</f>
        <v>4600</v>
      </c>
      <c r="G483" s="90" t="s">
        <v>71</v>
      </c>
    </row>
    <row r="484" spans="1:7" x14ac:dyDescent="0.25">
      <c r="A484" s="255" t="s">
        <v>16</v>
      </c>
      <c r="B484" s="203" t="s">
        <v>1</v>
      </c>
      <c r="C484" s="164" t="s">
        <v>2</v>
      </c>
      <c r="D484" s="79" t="s">
        <v>82</v>
      </c>
      <c r="E484" s="54" t="s">
        <v>483</v>
      </c>
      <c r="F484" s="98">
        <f>4500*(1+E5)</f>
        <v>4500</v>
      </c>
      <c r="G484" s="90">
        <f>5100*(1+E5)</f>
        <v>5100</v>
      </c>
    </row>
    <row r="485" spans="1:7" ht="27.6" x14ac:dyDescent="0.25">
      <c r="A485" s="255"/>
      <c r="B485" s="203"/>
      <c r="C485" s="165"/>
      <c r="D485" s="100" t="s">
        <v>299</v>
      </c>
      <c r="E485" s="54" t="s">
        <v>484</v>
      </c>
      <c r="F485" s="98">
        <f>4900*(1+E5)</f>
        <v>4900</v>
      </c>
      <c r="G485" s="90">
        <f>5600*(1+E5)</f>
        <v>5600</v>
      </c>
    </row>
    <row r="486" spans="1:7" ht="27.6" x14ac:dyDescent="0.25">
      <c r="A486" s="255"/>
      <c r="B486" s="203"/>
      <c r="C486" s="165"/>
      <c r="D486" s="55" t="s">
        <v>4</v>
      </c>
      <c r="E486" s="54" t="s">
        <v>485</v>
      </c>
      <c r="F486" s="98">
        <f>5200*(1+E5)</f>
        <v>5200</v>
      </c>
      <c r="G486" s="90">
        <f>6000*(1+E5)</f>
        <v>6000</v>
      </c>
    </row>
    <row r="487" spans="1:7" x14ac:dyDescent="0.25">
      <c r="A487" s="255"/>
      <c r="B487" s="203"/>
      <c r="C487" s="165"/>
      <c r="D487" s="46" t="s">
        <v>401</v>
      </c>
      <c r="E487" s="158" t="s">
        <v>486</v>
      </c>
      <c r="F487" s="98">
        <f>5400*(1+E5)</f>
        <v>5400</v>
      </c>
      <c r="G487" s="90">
        <f>6200*(1+E5)</f>
        <v>6200</v>
      </c>
    </row>
    <row r="488" spans="1:7" x14ac:dyDescent="0.25">
      <c r="A488" s="255"/>
      <c r="B488" s="203"/>
      <c r="C488" s="165"/>
      <c r="D488" s="46" t="s">
        <v>402</v>
      </c>
      <c r="E488" s="159"/>
      <c r="F488" s="98">
        <f>5500*(1+E5)</f>
        <v>5500</v>
      </c>
      <c r="G488" s="90">
        <f>6300*(1+E5)</f>
        <v>6300</v>
      </c>
    </row>
    <row r="489" spans="1:7" x14ac:dyDescent="0.25">
      <c r="A489" s="255"/>
      <c r="B489" s="203" t="s">
        <v>8</v>
      </c>
      <c r="C489" s="164" t="s">
        <v>2</v>
      </c>
      <c r="D489" s="79" t="s">
        <v>82</v>
      </c>
      <c r="E489" s="54" t="s">
        <v>483</v>
      </c>
      <c r="F489" s="98">
        <f>4100*(1+E5)</f>
        <v>4100</v>
      </c>
      <c r="G489" s="90" t="s">
        <v>71</v>
      </c>
    </row>
    <row r="490" spans="1:7" ht="27.6" x14ac:dyDescent="0.25">
      <c r="A490" s="255"/>
      <c r="B490" s="203"/>
      <c r="C490" s="165"/>
      <c r="D490" s="100" t="s">
        <v>299</v>
      </c>
      <c r="E490" s="54" t="s">
        <v>484</v>
      </c>
      <c r="F490" s="98">
        <f>4600*(1+E5)</f>
        <v>4600</v>
      </c>
      <c r="G490" s="90" t="s">
        <v>71</v>
      </c>
    </row>
    <row r="491" spans="1:7" ht="27.6" x14ac:dyDescent="0.25">
      <c r="A491" s="255"/>
      <c r="B491" s="203"/>
      <c r="C491" s="165"/>
      <c r="D491" s="55" t="s">
        <v>4</v>
      </c>
      <c r="E491" s="54" t="s">
        <v>485</v>
      </c>
      <c r="F491" s="98">
        <f>4800*(1+E5)</f>
        <v>4800</v>
      </c>
      <c r="G491" s="90" t="s">
        <v>71</v>
      </c>
    </row>
    <row r="492" spans="1:7" x14ac:dyDescent="0.25">
      <c r="A492" s="255"/>
      <c r="B492" s="203"/>
      <c r="C492" s="165"/>
      <c r="D492" s="46" t="s">
        <v>401</v>
      </c>
      <c r="E492" s="158" t="s">
        <v>486</v>
      </c>
      <c r="F492" s="98">
        <f>5000*(1+E5)</f>
        <v>5000</v>
      </c>
      <c r="G492" s="90" t="s">
        <v>71</v>
      </c>
    </row>
    <row r="493" spans="1:7" x14ac:dyDescent="0.25">
      <c r="A493" s="255"/>
      <c r="B493" s="203"/>
      <c r="C493" s="165"/>
      <c r="D493" s="46" t="s">
        <v>402</v>
      </c>
      <c r="E493" s="159"/>
      <c r="F493" s="98">
        <f>5100*(1+E5)</f>
        <v>5100</v>
      </c>
      <c r="G493" s="90" t="s">
        <v>71</v>
      </c>
    </row>
    <row r="494" spans="1:7" x14ac:dyDescent="0.25">
      <c r="A494" s="255" t="s">
        <v>17</v>
      </c>
      <c r="B494" s="203" t="s">
        <v>1</v>
      </c>
      <c r="C494" s="164" t="s">
        <v>2</v>
      </c>
      <c r="D494" s="79" t="s">
        <v>82</v>
      </c>
      <c r="E494" s="54" t="s">
        <v>483</v>
      </c>
      <c r="F494" s="98">
        <f>4900*(1+E5)</f>
        <v>4900</v>
      </c>
      <c r="G494" s="90">
        <f>5600*(1+E5)</f>
        <v>5600</v>
      </c>
    </row>
    <row r="495" spans="1:7" ht="27.6" x14ac:dyDescent="0.25">
      <c r="A495" s="255"/>
      <c r="B495" s="203"/>
      <c r="C495" s="165"/>
      <c r="D495" s="100" t="s">
        <v>299</v>
      </c>
      <c r="E495" s="54" t="s">
        <v>484</v>
      </c>
      <c r="F495" s="98">
        <f>5500*(1+E5)</f>
        <v>5500</v>
      </c>
      <c r="G495" s="90">
        <f>6300*(1+E5)</f>
        <v>6300</v>
      </c>
    </row>
    <row r="496" spans="1:7" ht="27.6" x14ac:dyDescent="0.25">
      <c r="A496" s="255"/>
      <c r="B496" s="203"/>
      <c r="C496" s="165"/>
      <c r="D496" s="55" t="s">
        <v>4</v>
      </c>
      <c r="E496" s="54" t="s">
        <v>485</v>
      </c>
      <c r="F496" s="98">
        <f>5700*(1+E5)</f>
        <v>5700</v>
      </c>
      <c r="G496" s="90">
        <f>6550*(1+E5)</f>
        <v>6550</v>
      </c>
    </row>
    <row r="497" spans="1:7" x14ac:dyDescent="0.25">
      <c r="A497" s="255"/>
      <c r="B497" s="203"/>
      <c r="C497" s="165"/>
      <c r="D497" s="46" t="s">
        <v>401</v>
      </c>
      <c r="E497" s="158" t="s">
        <v>486</v>
      </c>
      <c r="F497" s="98">
        <f>5900*(1+E5)</f>
        <v>5900</v>
      </c>
      <c r="G497" s="90">
        <f>6800*(1+E5)</f>
        <v>6800</v>
      </c>
    </row>
    <row r="498" spans="1:7" x14ac:dyDescent="0.25">
      <c r="A498" s="255"/>
      <c r="B498" s="203"/>
      <c r="C498" s="165"/>
      <c r="D498" s="46" t="s">
        <v>402</v>
      </c>
      <c r="E498" s="159"/>
      <c r="F498" s="98">
        <f>6000*(1+E5)</f>
        <v>6000</v>
      </c>
      <c r="G498" s="90">
        <f>6900*(1+E5)</f>
        <v>6900</v>
      </c>
    </row>
    <row r="499" spans="1:7" x14ac:dyDescent="0.25">
      <c r="A499" s="255"/>
      <c r="B499" s="203" t="s">
        <v>8</v>
      </c>
      <c r="C499" s="164" t="s">
        <v>2</v>
      </c>
      <c r="D499" s="79" t="s">
        <v>82</v>
      </c>
      <c r="E499" s="54" t="s">
        <v>483</v>
      </c>
      <c r="F499" s="98">
        <f>4600*(1+E5)</f>
        <v>4600</v>
      </c>
      <c r="G499" s="90" t="s">
        <v>71</v>
      </c>
    </row>
    <row r="500" spans="1:7" ht="27.6" x14ac:dyDescent="0.25">
      <c r="A500" s="255"/>
      <c r="B500" s="203"/>
      <c r="C500" s="165"/>
      <c r="D500" s="100" t="s">
        <v>299</v>
      </c>
      <c r="E500" s="54" t="s">
        <v>484</v>
      </c>
      <c r="F500" s="98">
        <f>5100*(1+E5)</f>
        <v>5100</v>
      </c>
      <c r="G500" s="90" t="s">
        <v>71</v>
      </c>
    </row>
    <row r="501" spans="1:7" ht="27.6" x14ac:dyDescent="0.25">
      <c r="A501" s="255"/>
      <c r="B501" s="203"/>
      <c r="C501" s="165"/>
      <c r="D501" s="55" t="s">
        <v>4</v>
      </c>
      <c r="E501" s="54" t="s">
        <v>485</v>
      </c>
      <c r="F501" s="98">
        <f>5300*(1+E5)</f>
        <v>5300</v>
      </c>
      <c r="G501" s="90" t="s">
        <v>71</v>
      </c>
    </row>
    <row r="502" spans="1:7" x14ac:dyDescent="0.25">
      <c r="A502" s="255"/>
      <c r="B502" s="203"/>
      <c r="C502" s="165"/>
      <c r="D502" s="46" t="s">
        <v>401</v>
      </c>
      <c r="E502" s="158" t="s">
        <v>486</v>
      </c>
      <c r="F502" s="98">
        <f>5500*(1+E5)</f>
        <v>5500</v>
      </c>
      <c r="G502" s="90" t="s">
        <v>71</v>
      </c>
    </row>
    <row r="503" spans="1:7" x14ac:dyDescent="0.25">
      <c r="A503" s="255"/>
      <c r="B503" s="203"/>
      <c r="C503" s="165"/>
      <c r="D503" s="56" t="s">
        <v>402</v>
      </c>
      <c r="E503" s="159"/>
      <c r="F503" s="98">
        <f>5600*(1+E5)</f>
        <v>5600</v>
      </c>
      <c r="G503" s="90" t="s">
        <v>71</v>
      </c>
    </row>
    <row r="504" spans="1:7" x14ac:dyDescent="0.25">
      <c r="A504" s="325" t="s">
        <v>61</v>
      </c>
      <c r="B504" s="80" t="s">
        <v>1</v>
      </c>
      <c r="C504" s="247" t="s">
        <v>2</v>
      </c>
      <c r="D504" s="249" t="s">
        <v>60</v>
      </c>
      <c r="E504" s="160" t="s">
        <v>487</v>
      </c>
      <c r="F504" s="98">
        <f>4300*(1+E5)</f>
        <v>4300</v>
      </c>
      <c r="G504" s="90">
        <f>4900*(1+E5)</f>
        <v>4900</v>
      </c>
    </row>
    <row r="505" spans="1:7" x14ac:dyDescent="0.25">
      <c r="A505" s="326"/>
      <c r="B505" s="80" t="s">
        <v>8</v>
      </c>
      <c r="C505" s="248"/>
      <c r="D505" s="249"/>
      <c r="E505" s="161"/>
      <c r="F505" s="98">
        <f>3950*(1+E5)</f>
        <v>3950</v>
      </c>
      <c r="G505" s="90" t="s">
        <v>71</v>
      </c>
    </row>
    <row r="506" spans="1:7" x14ac:dyDescent="0.25">
      <c r="A506" s="245" t="s">
        <v>459</v>
      </c>
      <c r="B506" s="80" t="s">
        <v>1</v>
      </c>
      <c r="C506" s="163" t="s">
        <v>2</v>
      </c>
      <c r="D506" s="162"/>
      <c r="E506" s="163" t="s">
        <v>7</v>
      </c>
      <c r="F506" s="98">
        <f>250*(1+E5)</f>
        <v>250</v>
      </c>
      <c r="G506" s="90">
        <f>300*(1+E5)</f>
        <v>300</v>
      </c>
    </row>
    <row r="507" spans="1:7" x14ac:dyDescent="0.25">
      <c r="A507" s="246"/>
      <c r="B507" s="70" t="s">
        <v>8</v>
      </c>
      <c r="C507" s="162"/>
      <c r="D507" s="162"/>
      <c r="E507" s="162"/>
      <c r="F507" s="76">
        <f>210*(1+E5)</f>
        <v>210</v>
      </c>
      <c r="G507" s="19" t="s">
        <v>71</v>
      </c>
    </row>
    <row r="508" spans="1:7" x14ac:dyDescent="0.25">
      <c r="A508" s="245" t="s">
        <v>513</v>
      </c>
      <c r="B508" s="148" t="s">
        <v>1</v>
      </c>
      <c r="C508" s="163" t="s">
        <v>347</v>
      </c>
      <c r="D508" s="162"/>
      <c r="E508" s="163" t="s">
        <v>514</v>
      </c>
      <c r="F508" s="149">
        <f>1550*(1+E5)</f>
        <v>1550</v>
      </c>
      <c r="G508" s="145">
        <f>1700*(1+E5)</f>
        <v>1700</v>
      </c>
    </row>
    <row r="509" spans="1:7" x14ac:dyDescent="0.25">
      <c r="A509" s="246"/>
      <c r="B509" s="144" t="s">
        <v>8</v>
      </c>
      <c r="C509" s="162"/>
      <c r="D509" s="162"/>
      <c r="E509" s="162"/>
      <c r="F509" s="150">
        <f>1450*(1+E5)</f>
        <v>1450</v>
      </c>
      <c r="G509" s="143" t="s">
        <v>71</v>
      </c>
    </row>
    <row r="510" spans="1:7" x14ac:dyDescent="0.25">
      <c r="A510" s="209" t="s">
        <v>111</v>
      </c>
      <c r="B510" s="210"/>
      <c r="C510" s="210"/>
      <c r="D510" s="210"/>
      <c r="E510" s="210"/>
      <c r="F510" s="210"/>
      <c r="G510" s="210"/>
    </row>
    <row r="511" spans="1:7" x14ac:dyDescent="0.25">
      <c r="A511" s="214" t="s">
        <v>79</v>
      </c>
      <c r="B511" s="74" t="s">
        <v>1</v>
      </c>
      <c r="C511" s="155"/>
      <c r="D511" s="198" t="s">
        <v>82</v>
      </c>
      <c r="E511" s="151" t="s">
        <v>369</v>
      </c>
      <c r="F511" s="74">
        <f>1150*(1+E5)</f>
        <v>1150</v>
      </c>
      <c r="G511" s="74">
        <f>1300*(1+E5)</f>
        <v>1300</v>
      </c>
    </row>
    <row r="512" spans="1:7" x14ac:dyDescent="0.25">
      <c r="A512" s="215"/>
      <c r="B512" s="74" t="s">
        <v>8</v>
      </c>
      <c r="C512" s="156"/>
      <c r="D512" s="198"/>
      <c r="E512" s="153"/>
      <c r="F512" s="74">
        <f>1050*(1+E5)</f>
        <v>1050</v>
      </c>
      <c r="G512" s="74" t="s">
        <v>71</v>
      </c>
    </row>
    <row r="513" spans="1:7" x14ac:dyDescent="0.25">
      <c r="A513" s="234"/>
      <c r="B513" s="74" t="s">
        <v>1</v>
      </c>
      <c r="C513" s="155"/>
      <c r="D513" s="169" t="s">
        <v>299</v>
      </c>
      <c r="E513" s="151" t="s">
        <v>292</v>
      </c>
      <c r="F513" s="74">
        <f>1300*(1+E5)</f>
        <v>1300</v>
      </c>
      <c r="G513" s="74">
        <f>1450*(1+E5)</f>
        <v>1450</v>
      </c>
    </row>
    <row r="514" spans="1:7" x14ac:dyDescent="0.25">
      <c r="A514" s="234"/>
      <c r="B514" s="74" t="s">
        <v>8</v>
      </c>
      <c r="C514" s="156"/>
      <c r="D514" s="169"/>
      <c r="E514" s="153"/>
      <c r="F514" s="74">
        <f>1200*(1+E5)</f>
        <v>1200</v>
      </c>
      <c r="G514" s="74" t="s">
        <v>71</v>
      </c>
    </row>
    <row r="515" spans="1:7" x14ac:dyDescent="0.25">
      <c r="A515" s="234"/>
      <c r="B515" s="74" t="s">
        <v>1</v>
      </c>
      <c r="C515" s="155"/>
      <c r="D515" s="155" t="s">
        <v>4</v>
      </c>
      <c r="E515" s="151" t="s">
        <v>460</v>
      </c>
      <c r="F515" s="74">
        <f>1600*(1+E5)</f>
        <v>1600</v>
      </c>
      <c r="G515" s="74">
        <f>1800*(1+E5)</f>
        <v>1800</v>
      </c>
    </row>
    <row r="516" spans="1:7" x14ac:dyDescent="0.25">
      <c r="A516" s="234"/>
      <c r="B516" s="74" t="s">
        <v>8</v>
      </c>
      <c r="C516" s="156"/>
      <c r="D516" s="157"/>
      <c r="E516" s="153"/>
      <c r="F516" s="74">
        <f>1500*(1+E5)</f>
        <v>1500</v>
      </c>
      <c r="G516" s="74" t="s">
        <v>71</v>
      </c>
    </row>
    <row r="517" spans="1:7" x14ac:dyDescent="0.25">
      <c r="A517" s="234"/>
      <c r="B517" s="74" t="s">
        <v>1</v>
      </c>
      <c r="C517" s="155"/>
      <c r="D517" s="155" t="s">
        <v>401</v>
      </c>
      <c r="E517" s="151" t="s">
        <v>461</v>
      </c>
      <c r="F517" s="74">
        <f>2700*(1+E5)</f>
        <v>2700</v>
      </c>
      <c r="G517" s="74">
        <f>3000*(1+E5)</f>
        <v>3000</v>
      </c>
    </row>
    <row r="518" spans="1:7" x14ac:dyDescent="0.25">
      <c r="A518" s="234"/>
      <c r="B518" s="74" t="s">
        <v>8</v>
      </c>
      <c r="C518" s="156"/>
      <c r="D518" s="157"/>
      <c r="E518" s="153"/>
      <c r="F518" s="74">
        <f>2500*(1+E5)</f>
        <v>2500</v>
      </c>
      <c r="G518" s="74" t="s">
        <v>71</v>
      </c>
    </row>
    <row r="519" spans="1:7" x14ac:dyDescent="0.25">
      <c r="A519" s="234"/>
      <c r="B519" s="74" t="s">
        <v>1</v>
      </c>
      <c r="C519" s="155"/>
      <c r="D519" s="155" t="s">
        <v>402</v>
      </c>
      <c r="E519" s="151" t="s">
        <v>461</v>
      </c>
      <c r="F519" s="74">
        <f>3000*(1+E5)</f>
        <v>3000</v>
      </c>
      <c r="G519" s="74">
        <f>3300*(1+E5)</f>
        <v>3300</v>
      </c>
    </row>
    <row r="520" spans="1:7" x14ac:dyDescent="0.25">
      <c r="A520" s="235"/>
      <c r="B520" s="74" t="s">
        <v>8</v>
      </c>
      <c r="C520" s="156"/>
      <c r="D520" s="157"/>
      <c r="E520" s="153"/>
      <c r="F520" s="74">
        <f>2600*(1+E5)</f>
        <v>2600</v>
      </c>
      <c r="G520" s="74" t="s">
        <v>71</v>
      </c>
    </row>
    <row r="521" spans="1:7" x14ac:dyDescent="0.25">
      <c r="A521" s="73" t="s">
        <v>52</v>
      </c>
      <c r="B521" s="169" t="s">
        <v>1</v>
      </c>
      <c r="C521" s="74"/>
      <c r="D521" s="169" t="s">
        <v>82</v>
      </c>
      <c r="E521" s="151" t="s">
        <v>469</v>
      </c>
      <c r="F521" s="74">
        <f>1850*(1+E5)</f>
        <v>1850</v>
      </c>
      <c r="G521" s="74">
        <f>2150*(1+E5)</f>
        <v>2150</v>
      </c>
    </row>
    <row r="522" spans="1:7" x14ac:dyDescent="0.25">
      <c r="A522" s="73" t="s">
        <v>53</v>
      </c>
      <c r="B522" s="169"/>
      <c r="C522" s="74"/>
      <c r="D522" s="169"/>
      <c r="E522" s="152"/>
      <c r="F522" s="74">
        <f>3200*(1+E5)</f>
        <v>3200</v>
      </c>
      <c r="G522" s="74">
        <f>3600*(1+E5)</f>
        <v>3600</v>
      </c>
    </row>
    <row r="523" spans="1:7" x14ac:dyDescent="0.25">
      <c r="A523" s="73" t="s">
        <v>54</v>
      </c>
      <c r="B523" s="169"/>
      <c r="C523" s="74"/>
      <c r="D523" s="169"/>
      <c r="E523" s="153"/>
      <c r="F523" s="74">
        <f>3500*(1+E5)</f>
        <v>3500</v>
      </c>
      <c r="G523" s="74">
        <f>4000*(1+E5)</f>
        <v>4000</v>
      </c>
    </row>
    <row r="524" spans="1:7" x14ac:dyDescent="0.25">
      <c r="A524" s="73" t="s">
        <v>55</v>
      </c>
      <c r="B524" s="169"/>
      <c r="C524" s="74"/>
      <c r="D524" s="169"/>
      <c r="E524" s="83" t="s">
        <v>395</v>
      </c>
      <c r="F524" s="74">
        <f>1700*(1+E5)</f>
        <v>1700</v>
      </c>
      <c r="G524" s="74">
        <f>1950*(1+E5)</f>
        <v>1950</v>
      </c>
    </row>
    <row r="525" spans="1:7" x14ac:dyDescent="0.25">
      <c r="A525" s="73" t="s">
        <v>56</v>
      </c>
      <c r="B525" s="169"/>
      <c r="C525" s="74"/>
      <c r="D525" s="169"/>
      <c r="E525" s="83" t="s">
        <v>462</v>
      </c>
      <c r="F525" s="74">
        <f>1200*(1+E5)</f>
        <v>1200</v>
      </c>
      <c r="G525" s="74">
        <f>1400*(1+E5)</f>
        <v>1400</v>
      </c>
    </row>
    <row r="526" spans="1:7" x14ac:dyDescent="0.25">
      <c r="A526" s="73" t="s">
        <v>52</v>
      </c>
      <c r="B526" s="169" t="s">
        <v>8</v>
      </c>
      <c r="C526" s="74"/>
      <c r="D526" s="169" t="s">
        <v>82</v>
      </c>
      <c r="E526" s="151" t="s">
        <v>394</v>
      </c>
      <c r="F526" s="74">
        <f>1700*(1+E5)</f>
        <v>1700</v>
      </c>
      <c r="G526" s="74" t="s">
        <v>71</v>
      </c>
    </row>
    <row r="527" spans="1:7" x14ac:dyDescent="0.25">
      <c r="A527" s="73" t="s">
        <v>53</v>
      </c>
      <c r="B527" s="169"/>
      <c r="C527" s="74"/>
      <c r="D527" s="169"/>
      <c r="E527" s="152"/>
      <c r="F527" s="74">
        <f>2900*(1+E5)</f>
        <v>2900</v>
      </c>
      <c r="G527" s="74" t="s">
        <v>71</v>
      </c>
    </row>
    <row r="528" spans="1:7" x14ac:dyDescent="0.25">
      <c r="A528" s="73" t="s">
        <v>54</v>
      </c>
      <c r="B528" s="169"/>
      <c r="C528" s="74"/>
      <c r="D528" s="169"/>
      <c r="E528" s="153"/>
      <c r="F528" s="74">
        <f>3150*(1+E5)</f>
        <v>3150</v>
      </c>
      <c r="G528" s="74" t="s">
        <v>71</v>
      </c>
    </row>
    <row r="529" spans="1:7" x14ac:dyDescent="0.25">
      <c r="A529" s="73" t="s">
        <v>55</v>
      </c>
      <c r="B529" s="169"/>
      <c r="C529" s="74"/>
      <c r="D529" s="169"/>
      <c r="E529" s="83" t="s">
        <v>395</v>
      </c>
      <c r="F529" s="74">
        <f>1600*(1+E5)</f>
        <v>1600</v>
      </c>
      <c r="G529" s="74" t="s">
        <v>71</v>
      </c>
    </row>
    <row r="530" spans="1:7" x14ac:dyDescent="0.25">
      <c r="A530" s="71" t="s">
        <v>56</v>
      </c>
      <c r="B530" s="155"/>
      <c r="C530" s="74"/>
      <c r="D530" s="155"/>
      <c r="E530" s="83" t="s">
        <v>462</v>
      </c>
      <c r="F530" s="74">
        <f>1050*(1+E5)</f>
        <v>1050</v>
      </c>
      <c r="G530" s="67" t="s">
        <v>71</v>
      </c>
    </row>
    <row r="531" spans="1:7" x14ac:dyDescent="0.25">
      <c r="A531" s="211" t="s">
        <v>308</v>
      </c>
      <c r="B531" s="74" t="s">
        <v>1</v>
      </c>
      <c r="C531" s="74"/>
      <c r="D531" s="169" t="s">
        <v>4</v>
      </c>
      <c r="E531" s="219" t="s">
        <v>128</v>
      </c>
      <c r="F531" s="74">
        <f>150*(1+E5)</f>
        <v>150</v>
      </c>
      <c r="G531" s="74">
        <f>170*(1+E5)</f>
        <v>170</v>
      </c>
    </row>
    <row r="532" spans="1:7" x14ac:dyDescent="0.25">
      <c r="A532" s="238"/>
      <c r="B532" s="90" t="s">
        <v>8</v>
      </c>
      <c r="C532" s="128"/>
      <c r="D532" s="238"/>
      <c r="E532" s="238"/>
      <c r="F532" s="74">
        <f>130*(1+E5)</f>
        <v>130</v>
      </c>
      <c r="G532" s="82" t="s">
        <v>71</v>
      </c>
    </row>
    <row r="533" spans="1:7" s="10" customFormat="1" x14ac:dyDescent="0.25">
      <c r="A533" s="236" t="s">
        <v>334</v>
      </c>
      <c r="B533" s="155" t="s">
        <v>1</v>
      </c>
      <c r="C533" s="98" t="s">
        <v>333</v>
      </c>
      <c r="D533" s="311" t="s">
        <v>60</v>
      </c>
      <c r="E533" s="151" t="s">
        <v>394</v>
      </c>
      <c r="F533" s="74">
        <f>1200*(1+E5)</f>
        <v>1200</v>
      </c>
      <c r="G533" s="74">
        <f>1350*(1+E5)</f>
        <v>1350</v>
      </c>
    </row>
    <row r="534" spans="1:7" s="10" customFormat="1" x14ac:dyDescent="0.25">
      <c r="A534" s="310"/>
      <c r="B534" s="157"/>
      <c r="C534" s="98" t="s">
        <v>109</v>
      </c>
      <c r="D534" s="313"/>
      <c r="E534" s="152"/>
      <c r="F534" s="74">
        <f>1700*(1+E5)</f>
        <v>1700</v>
      </c>
      <c r="G534" s="74">
        <f>1900*(1+E5)</f>
        <v>1900</v>
      </c>
    </row>
    <row r="535" spans="1:7" s="10" customFormat="1" x14ac:dyDescent="0.25">
      <c r="A535" s="310"/>
      <c r="B535" s="311" t="s">
        <v>8</v>
      </c>
      <c r="C535" s="98" t="s">
        <v>333</v>
      </c>
      <c r="D535" s="313"/>
      <c r="E535" s="152"/>
      <c r="F535" s="74">
        <f>1100*(1+E5)</f>
        <v>1100</v>
      </c>
      <c r="G535" s="129" t="s">
        <v>71</v>
      </c>
    </row>
    <row r="536" spans="1:7" s="10" customFormat="1" x14ac:dyDescent="0.25">
      <c r="A536" s="237"/>
      <c r="B536" s="312"/>
      <c r="C536" s="98" t="s">
        <v>109</v>
      </c>
      <c r="D536" s="312"/>
      <c r="E536" s="153"/>
      <c r="F536" s="74">
        <f>1600*(1+E5)</f>
        <v>1600</v>
      </c>
      <c r="G536" s="129" t="s">
        <v>71</v>
      </c>
    </row>
    <row r="537" spans="1:7" s="10" customFormat="1" x14ac:dyDescent="0.25">
      <c r="A537" s="236" t="s">
        <v>348</v>
      </c>
      <c r="B537" s="77" t="s">
        <v>1</v>
      </c>
      <c r="C537" s="154" t="s">
        <v>515</v>
      </c>
      <c r="D537" s="154" t="s">
        <v>48</v>
      </c>
      <c r="E537" s="151" t="s">
        <v>7</v>
      </c>
      <c r="F537" s="74">
        <f>1350*(1+E5)</f>
        <v>1350</v>
      </c>
      <c r="G537" s="74">
        <f>1500*(1+E5)</f>
        <v>1500</v>
      </c>
    </row>
    <row r="538" spans="1:7" s="10" customFormat="1" x14ac:dyDescent="0.25">
      <c r="A538" s="237"/>
      <c r="B538" s="77" t="s">
        <v>8</v>
      </c>
      <c r="C538" s="153"/>
      <c r="D538" s="153"/>
      <c r="E538" s="153"/>
      <c r="F538" s="74">
        <f>1250*(1+E5)</f>
        <v>1250</v>
      </c>
      <c r="G538" s="129" t="s">
        <v>71</v>
      </c>
    </row>
    <row r="539" spans="1:7" ht="17.399999999999999" x14ac:dyDescent="0.25">
      <c r="A539" s="223" t="s">
        <v>112</v>
      </c>
      <c r="B539" s="224"/>
      <c r="C539" s="224"/>
      <c r="D539" s="224"/>
      <c r="E539" s="224"/>
      <c r="F539" s="224"/>
      <c r="G539" s="224"/>
    </row>
    <row r="540" spans="1:7" ht="27.6" x14ac:dyDescent="0.25">
      <c r="A540" s="92" t="s">
        <v>92</v>
      </c>
      <c r="B540" s="92" t="s">
        <v>23</v>
      </c>
      <c r="C540" s="16" t="s">
        <v>93</v>
      </c>
      <c r="D540" s="16" t="s">
        <v>25</v>
      </c>
      <c r="E540" s="87" t="s">
        <v>26</v>
      </c>
      <c r="F540" s="6" t="s">
        <v>124</v>
      </c>
      <c r="G540" s="94" t="s">
        <v>113</v>
      </c>
    </row>
    <row r="541" spans="1:7" x14ac:dyDescent="0.25">
      <c r="A541" s="142" t="s">
        <v>100</v>
      </c>
      <c r="B541" s="195" t="s">
        <v>1</v>
      </c>
      <c r="C541" s="123" t="s">
        <v>122</v>
      </c>
      <c r="D541" s="123" t="s">
        <v>96</v>
      </c>
      <c r="E541" s="196" t="s">
        <v>458</v>
      </c>
      <c r="F541" s="139">
        <f>490*(1+E5)</f>
        <v>490</v>
      </c>
      <c r="G541" s="140">
        <f>560*(1+E5)</f>
        <v>560</v>
      </c>
    </row>
    <row r="542" spans="1:7" x14ac:dyDescent="0.25">
      <c r="A542" s="383" t="s">
        <v>491</v>
      </c>
      <c r="B542" s="379"/>
      <c r="C542" s="16" t="s">
        <v>492</v>
      </c>
      <c r="D542" s="123" t="s">
        <v>98</v>
      </c>
      <c r="E542" s="381"/>
      <c r="F542" s="139">
        <f>320*(1+E5)</f>
        <v>320</v>
      </c>
      <c r="G542" s="140">
        <f>360*(1+E5)</f>
        <v>360</v>
      </c>
    </row>
    <row r="543" spans="1:7" x14ac:dyDescent="0.25">
      <c r="A543" s="384"/>
      <c r="B543" s="379"/>
      <c r="C543" s="16" t="s">
        <v>493</v>
      </c>
      <c r="D543" s="16" t="s">
        <v>494</v>
      </c>
      <c r="E543" s="381"/>
      <c r="F543" s="6">
        <f>600*(1+E5)</f>
        <v>600</v>
      </c>
      <c r="G543" s="141">
        <f>690*(1+E5)</f>
        <v>690</v>
      </c>
    </row>
    <row r="544" spans="1:7" x14ac:dyDescent="0.25">
      <c r="A544" s="383" t="s">
        <v>94</v>
      </c>
      <c r="B544" s="379"/>
      <c r="C544" s="123" t="s">
        <v>117</v>
      </c>
      <c r="D544" s="123" t="s">
        <v>98</v>
      </c>
      <c r="E544" s="381"/>
      <c r="F544" s="139">
        <f>320*(1+E5)</f>
        <v>320</v>
      </c>
      <c r="G544" s="140">
        <f>360*(1+E5)</f>
        <v>360</v>
      </c>
    </row>
    <row r="545" spans="1:7" x14ac:dyDescent="0.25">
      <c r="A545" s="385"/>
      <c r="B545" s="379"/>
      <c r="C545" s="123" t="s">
        <v>118</v>
      </c>
      <c r="D545" s="123" t="s">
        <v>494</v>
      </c>
      <c r="E545" s="381"/>
      <c r="F545" s="139">
        <f>600*(1+E5)</f>
        <v>600</v>
      </c>
      <c r="G545" s="140">
        <f>690*(1+E5)</f>
        <v>690</v>
      </c>
    </row>
    <row r="546" spans="1:7" x14ac:dyDescent="0.25">
      <c r="A546" s="383" t="s">
        <v>495</v>
      </c>
      <c r="B546" s="379"/>
      <c r="C546" s="123" t="s">
        <v>496</v>
      </c>
      <c r="D546" s="123" t="s">
        <v>101</v>
      </c>
      <c r="E546" s="381"/>
      <c r="F546" s="139">
        <f>370*(1+E5)</f>
        <v>370</v>
      </c>
      <c r="G546" s="140">
        <f>430*(1+E5)</f>
        <v>430</v>
      </c>
    </row>
    <row r="547" spans="1:7" x14ac:dyDescent="0.25">
      <c r="A547" s="385"/>
      <c r="B547" s="379"/>
      <c r="C547" s="123" t="s">
        <v>497</v>
      </c>
      <c r="D547" s="123" t="s">
        <v>494</v>
      </c>
      <c r="E547" s="381"/>
      <c r="F547" s="139">
        <f>600*(1+E5)</f>
        <v>600</v>
      </c>
      <c r="G547" s="140">
        <f>690*(1+E5)</f>
        <v>690</v>
      </c>
    </row>
    <row r="548" spans="1:7" x14ac:dyDescent="0.25">
      <c r="A548" s="383" t="s">
        <v>498</v>
      </c>
      <c r="B548" s="379"/>
      <c r="C548" s="123" t="s">
        <v>499</v>
      </c>
      <c r="D548" s="123" t="s">
        <v>96</v>
      </c>
      <c r="E548" s="381"/>
      <c r="F548" s="139">
        <f>490*(1+E5)</f>
        <v>490</v>
      </c>
      <c r="G548" s="140">
        <f>560*(1+E5)</f>
        <v>560</v>
      </c>
    </row>
    <row r="549" spans="1:7" x14ac:dyDescent="0.25">
      <c r="A549" s="385"/>
      <c r="B549" s="379"/>
      <c r="C549" s="123" t="s">
        <v>500</v>
      </c>
      <c r="D549" s="123" t="s">
        <v>98</v>
      </c>
      <c r="E549" s="381"/>
      <c r="F549" s="139">
        <f>320*(1+E5)</f>
        <v>320</v>
      </c>
      <c r="G549" s="140">
        <f>360*(1+E5)</f>
        <v>360</v>
      </c>
    </row>
    <row r="550" spans="1:7" x14ac:dyDescent="0.25">
      <c r="A550" s="383" t="s">
        <v>97</v>
      </c>
      <c r="B550" s="379"/>
      <c r="C550" s="123" t="s">
        <v>119</v>
      </c>
      <c r="D550" s="123" t="s">
        <v>494</v>
      </c>
      <c r="E550" s="381"/>
      <c r="F550" s="139">
        <f>600*(1+E5)</f>
        <v>600</v>
      </c>
      <c r="G550" s="140">
        <f>690*(1+E5)</f>
        <v>690</v>
      </c>
    </row>
    <row r="551" spans="1:7" x14ac:dyDescent="0.25">
      <c r="A551" s="385"/>
      <c r="B551" s="379"/>
      <c r="C551" s="123" t="s">
        <v>120</v>
      </c>
      <c r="D551" s="123" t="s">
        <v>101</v>
      </c>
      <c r="E551" s="381"/>
      <c r="F551" s="139">
        <f>370*(1+E5)</f>
        <v>370</v>
      </c>
      <c r="G551" s="140">
        <f>430*(1+E5)</f>
        <v>430</v>
      </c>
    </row>
    <row r="552" spans="1:7" x14ac:dyDescent="0.25">
      <c r="A552" s="383" t="s">
        <v>99</v>
      </c>
      <c r="B552" s="379"/>
      <c r="C552" s="123" t="s">
        <v>121</v>
      </c>
      <c r="D552" s="123" t="s">
        <v>96</v>
      </c>
      <c r="E552" s="381"/>
      <c r="F552" s="139">
        <f>490*(1+E5)</f>
        <v>490</v>
      </c>
      <c r="G552" s="140">
        <f>560*(1+E5)</f>
        <v>560</v>
      </c>
    </row>
    <row r="553" spans="1:7" x14ac:dyDescent="0.25">
      <c r="A553" s="385"/>
      <c r="B553" s="379"/>
      <c r="C553" s="123" t="s">
        <v>120</v>
      </c>
      <c r="D553" s="123" t="s">
        <v>101</v>
      </c>
      <c r="E553" s="381"/>
      <c r="F553" s="139">
        <f>370*(1+E5)</f>
        <v>370</v>
      </c>
      <c r="G553" s="140">
        <f>430*(1+E5)</f>
        <v>430</v>
      </c>
    </row>
    <row r="554" spans="1:7" x14ac:dyDescent="0.25">
      <c r="A554" s="124" t="s">
        <v>102</v>
      </c>
      <c r="B554" s="380"/>
      <c r="C554" s="123" t="s">
        <v>331</v>
      </c>
      <c r="D554" s="123" t="s">
        <v>95</v>
      </c>
      <c r="E554" s="382"/>
      <c r="F554" s="139">
        <f>270*(1+E5)</f>
        <v>270</v>
      </c>
      <c r="G554" s="140">
        <f>300*(1+E5)</f>
        <v>300</v>
      </c>
    </row>
    <row r="555" spans="1:7" x14ac:dyDescent="0.25">
      <c r="A555" s="142" t="s">
        <v>100</v>
      </c>
      <c r="B555" s="195" t="s">
        <v>8</v>
      </c>
      <c r="C555" s="123" t="s">
        <v>122</v>
      </c>
      <c r="D555" s="123" t="s">
        <v>96</v>
      </c>
      <c r="E555" s="196" t="s">
        <v>458</v>
      </c>
      <c r="F555" s="139">
        <f>430*(1+E5)</f>
        <v>430</v>
      </c>
      <c r="G555" s="140" t="s">
        <v>71</v>
      </c>
    </row>
    <row r="556" spans="1:7" x14ac:dyDescent="0.25">
      <c r="A556" s="383" t="s">
        <v>491</v>
      </c>
      <c r="B556" s="379"/>
      <c r="C556" s="16" t="s">
        <v>492</v>
      </c>
      <c r="D556" s="123" t="s">
        <v>98</v>
      </c>
      <c r="E556" s="381"/>
      <c r="F556" s="139">
        <f>280*(1+E5)</f>
        <v>280</v>
      </c>
      <c r="G556" s="140" t="s">
        <v>71</v>
      </c>
    </row>
    <row r="557" spans="1:7" x14ac:dyDescent="0.25">
      <c r="A557" s="384"/>
      <c r="B557" s="379"/>
      <c r="C557" s="16" t="s">
        <v>493</v>
      </c>
      <c r="D557" s="16" t="s">
        <v>494</v>
      </c>
      <c r="E557" s="381"/>
      <c r="F557" s="6">
        <f>520*(1+E5)</f>
        <v>520</v>
      </c>
      <c r="G557" s="141" t="s">
        <v>71</v>
      </c>
    </row>
    <row r="558" spans="1:7" x14ac:dyDescent="0.25">
      <c r="A558" s="383" t="s">
        <v>94</v>
      </c>
      <c r="B558" s="379"/>
      <c r="C558" s="123" t="s">
        <v>117</v>
      </c>
      <c r="D558" s="123" t="s">
        <v>98</v>
      </c>
      <c r="E558" s="381"/>
      <c r="F558" s="139">
        <f>280*(1+E5)</f>
        <v>280</v>
      </c>
      <c r="G558" s="140" t="s">
        <v>71</v>
      </c>
    </row>
    <row r="559" spans="1:7" x14ac:dyDescent="0.25">
      <c r="A559" s="385"/>
      <c r="B559" s="379"/>
      <c r="C559" s="123" t="s">
        <v>118</v>
      </c>
      <c r="D559" s="123" t="s">
        <v>494</v>
      </c>
      <c r="E559" s="381"/>
      <c r="F559" s="139">
        <f>520*(1+E5)</f>
        <v>520</v>
      </c>
      <c r="G559" s="140" t="s">
        <v>71</v>
      </c>
    </row>
    <row r="560" spans="1:7" x14ac:dyDescent="0.25">
      <c r="A560" s="383" t="s">
        <v>495</v>
      </c>
      <c r="B560" s="379"/>
      <c r="C560" s="123" t="s">
        <v>496</v>
      </c>
      <c r="D560" s="123" t="s">
        <v>101</v>
      </c>
      <c r="E560" s="381"/>
      <c r="F560" s="139">
        <f>330*(1+E5)</f>
        <v>330</v>
      </c>
      <c r="G560" s="140" t="s">
        <v>71</v>
      </c>
    </row>
    <row r="561" spans="1:7" x14ac:dyDescent="0.25">
      <c r="A561" s="385"/>
      <c r="B561" s="379"/>
      <c r="C561" s="123" t="s">
        <v>497</v>
      </c>
      <c r="D561" s="123" t="s">
        <v>494</v>
      </c>
      <c r="E561" s="381"/>
      <c r="F561" s="139">
        <f>520*(1+E5)</f>
        <v>520</v>
      </c>
      <c r="G561" s="140" t="s">
        <v>71</v>
      </c>
    </row>
    <row r="562" spans="1:7" x14ac:dyDescent="0.25">
      <c r="A562" s="383" t="s">
        <v>498</v>
      </c>
      <c r="B562" s="379"/>
      <c r="C562" s="123" t="s">
        <v>499</v>
      </c>
      <c r="D562" s="123" t="s">
        <v>96</v>
      </c>
      <c r="E562" s="381"/>
      <c r="F562" s="139">
        <f>430*(1+E5)</f>
        <v>430</v>
      </c>
      <c r="G562" s="140" t="s">
        <v>71</v>
      </c>
    </row>
    <row r="563" spans="1:7" x14ac:dyDescent="0.25">
      <c r="A563" s="385"/>
      <c r="B563" s="379"/>
      <c r="C563" s="123" t="s">
        <v>500</v>
      </c>
      <c r="D563" s="123" t="s">
        <v>98</v>
      </c>
      <c r="E563" s="381"/>
      <c r="F563" s="139">
        <f>280*(1+E5)</f>
        <v>280</v>
      </c>
      <c r="G563" s="140" t="s">
        <v>71</v>
      </c>
    </row>
    <row r="564" spans="1:7" x14ac:dyDescent="0.25">
      <c r="A564" s="383" t="s">
        <v>97</v>
      </c>
      <c r="B564" s="379"/>
      <c r="C564" s="123" t="s">
        <v>119</v>
      </c>
      <c r="D564" s="123" t="s">
        <v>494</v>
      </c>
      <c r="E564" s="381"/>
      <c r="F564" s="139">
        <f>520*(1+E5)</f>
        <v>520</v>
      </c>
      <c r="G564" s="140" t="s">
        <v>71</v>
      </c>
    </row>
    <row r="565" spans="1:7" x14ac:dyDescent="0.25">
      <c r="A565" s="385"/>
      <c r="B565" s="379"/>
      <c r="C565" s="123" t="s">
        <v>120</v>
      </c>
      <c r="D565" s="123" t="s">
        <v>101</v>
      </c>
      <c r="E565" s="381"/>
      <c r="F565" s="139">
        <f>330*(1+E5)</f>
        <v>330</v>
      </c>
      <c r="G565" s="140" t="s">
        <v>71</v>
      </c>
    </row>
    <row r="566" spans="1:7" x14ac:dyDescent="0.25">
      <c r="A566" s="383" t="s">
        <v>99</v>
      </c>
      <c r="B566" s="379"/>
      <c r="C566" s="123" t="s">
        <v>121</v>
      </c>
      <c r="D566" s="123" t="s">
        <v>96</v>
      </c>
      <c r="E566" s="381"/>
      <c r="F566" s="139">
        <f>430*(1+E5)</f>
        <v>430</v>
      </c>
      <c r="G566" s="140" t="s">
        <v>71</v>
      </c>
    </row>
    <row r="567" spans="1:7" x14ac:dyDescent="0.25">
      <c r="A567" s="385"/>
      <c r="B567" s="379"/>
      <c r="C567" s="123" t="s">
        <v>120</v>
      </c>
      <c r="D567" s="123" t="s">
        <v>101</v>
      </c>
      <c r="E567" s="381"/>
      <c r="F567" s="139">
        <f>330*(1+E5)</f>
        <v>330</v>
      </c>
      <c r="G567" s="140" t="s">
        <v>71</v>
      </c>
    </row>
    <row r="568" spans="1:7" x14ac:dyDescent="0.25">
      <c r="A568" s="124" t="s">
        <v>102</v>
      </c>
      <c r="B568" s="380"/>
      <c r="C568" s="123" t="s">
        <v>331</v>
      </c>
      <c r="D568" s="123" t="s">
        <v>95</v>
      </c>
      <c r="E568" s="382"/>
      <c r="F568" s="139">
        <f>240*(1+E5)</f>
        <v>240</v>
      </c>
      <c r="G568" s="140" t="s">
        <v>71</v>
      </c>
    </row>
    <row r="569" spans="1:7" ht="17.399999999999999" x14ac:dyDescent="0.25">
      <c r="A569" s="223" t="s">
        <v>133</v>
      </c>
      <c r="B569" s="224"/>
      <c r="C569" s="224"/>
      <c r="D569" s="224"/>
      <c r="E569" s="224"/>
      <c r="F569" s="224"/>
      <c r="G569" s="224"/>
    </row>
    <row r="570" spans="1:7" x14ac:dyDescent="0.25">
      <c r="A570" s="124" t="s">
        <v>129</v>
      </c>
      <c r="B570" s="130"/>
      <c r="C570" s="130"/>
      <c r="D570" s="130"/>
      <c r="E570" s="83" t="s">
        <v>130</v>
      </c>
      <c r="F570" s="36">
        <f>80*(1+E5)</f>
        <v>80</v>
      </c>
      <c r="G570" s="74" t="s">
        <v>71</v>
      </c>
    </row>
    <row r="571" spans="1:7" x14ac:dyDescent="0.25">
      <c r="A571" s="124" t="s">
        <v>131</v>
      </c>
      <c r="B571" s="130"/>
      <c r="C571" s="130"/>
      <c r="D571" s="130"/>
      <c r="E571" s="83" t="s">
        <v>132</v>
      </c>
      <c r="F571" s="36">
        <f>80*(1+E5)</f>
        <v>80</v>
      </c>
      <c r="G571" s="74" t="s">
        <v>71</v>
      </c>
    </row>
    <row r="572" spans="1:7" x14ac:dyDescent="0.25">
      <c r="A572" s="124" t="s">
        <v>179</v>
      </c>
      <c r="B572" s="81"/>
      <c r="C572" s="81"/>
      <c r="D572" s="81"/>
      <c r="E572" s="81" t="s">
        <v>3</v>
      </c>
      <c r="F572" s="36">
        <f>40*(1+E5)</f>
        <v>40</v>
      </c>
      <c r="G572" s="74" t="s">
        <v>71</v>
      </c>
    </row>
    <row r="573" spans="1:7" x14ac:dyDescent="0.25">
      <c r="A573" s="124" t="s">
        <v>180</v>
      </c>
      <c r="B573" s="81"/>
      <c r="C573" s="81"/>
      <c r="D573" s="81"/>
      <c r="E573" s="81" t="s">
        <v>3</v>
      </c>
      <c r="F573" s="36">
        <f>300*(1+E5)</f>
        <v>300</v>
      </c>
      <c r="G573" s="74" t="s">
        <v>71</v>
      </c>
    </row>
    <row r="574" spans="1:7" x14ac:dyDescent="0.25">
      <c r="A574" s="124" t="s">
        <v>181</v>
      </c>
      <c r="B574" s="81"/>
      <c r="C574" s="81"/>
      <c r="D574" s="81"/>
      <c r="E574" s="81" t="s">
        <v>3</v>
      </c>
      <c r="F574" s="36">
        <f>590*(1+E5)</f>
        <v>590</v>
      </c>
      <c r="G574" s="74" t="s">
        <v>71</v>
      </c>
    </row>
    <row r="575" spans="1:7" x14ac:dyDescent="0.25">
      <c r="A575" s="124" t="s">
        <v>182</v>
      </c>
      <c r="B575" s="81"/>
      <c r="C575" s="81"/>
      <c r="D575" s="81"/>
      <c r="E575" s="81" t="s">
        <v>3</v>
      </c>
      <c r="F575" s="36">
        <f>200*(1+E5)</f>
        <v>200</v>
      </c>
      <c r="G575" s="74" t="s">
        <v>71</v>
      </c>
    </row>
    <row r="576" spans="1:7" x14ac:dyDescent="0.25">
      <c r="A576" s="124" t="s">
        <v>183</v>
      </c>
      <c r="B576" s="81"/>
      <c r="C576" s="81"/>
      <c r="D576" s="81"/>
      <c r="E576" s="81" t="s">
        <v>3</v>
      </c>
      <c r="F576" s="36">
        <f>220*(1+E5)</f>
        <v>220</v>
      </c>
      <c r="G576" s="74" t="s">
        <v>71</v>
      </c>
    </row>
    <row r="577" spans="1:7" x14ac:dyDescent="0.25">
      <c r="A577" s="124" t="s">
        <v>184</v>
      </c>
      <c r="B577" s="81"/>
      <c r="C577" s="81"/>
      <c r="D577" s="81"/>
      <c r="E577" s="81" t="s">
        <v>3</v>
      </c>
      <c r="F577" s="36">
        <f>590*(1+E5)</f>
        <v>590</v>
      </c>
      <c r="G577" s="74" t="s">
        <v>71</v>
      </c>
    </row>
    <row r="578" spans="1:7" x14ac:dyDescent="0.25">
      <c r="A578" s="124" t="s">
        <v>185</v>
      </c>
      <c r="B578" s="81"/>
      <c r="C578" s="81"/>
      <c r="D578" s="81"/>
      <c r="E578" s="81" t="s">
        <v>3</v>
      </c>
      <c r="F578" s="36">
        <f>330*(1+E5)</f>
        <v>330</v>
      </c>
      <c r="G578" s="74" t="s">
        <v>71</v>
      </c>
    </row>
    <row r="579" spans="1:7" x14ac:dyDescent="0.25">
      <c r="A579" s="124" t="s">
        <v>186</v>
      </c>
      <c r="B579" s="81"/>
      <c r="C579" s="81"/>
      <c r="D579" s="81"/>
      <c r="E579" s="81" t="s">
        <v>3</v>
      </c>
      <c r="F579" s="36">
        <f>290*(1+E5)</f>
        <v>290</v>
      </c>
      <c r="G579" s="74" t="s">
        <v>71</v>
      </c>
    </row>
    <row r="580" spans="1:7" x14ac:dyDescent="0.25">
      <c r="A580" s="124" t="s">
        <v>187</v>
      </c>
      <c r="B580" s="81"/>
      <c r="C580" s="81"/>
      <c r="D580" s="81"/>
      <c r="E580" s="81" t="s">
        <v>3</v>
      </c>
      <c r="F580" s="36">
        <f>400*(1+E5)</f>
        <v>400</v>
      </c>
      <c r="G580" s="74" t="s">
        <v>71</v>
      </c>
    </row>
    <row r="581" spans="1:7" x14ac:dyDescent="0.25">
      <c r="A581" s="124" t="s">
        <v>188</v>
      </c>
      <c r="B581" s="81"/>
      <c r="C581" s="81"/>
      <c r="D581" s="81"/>
      <c r="E581" s="81" t="s">
        <v>3</v>
      </c>
      <c r="F581" s="36">
        <f>280*(1+E5)</f>
        <v>280</v>
      </c>
      <c r="G581" s="74" t="s">
        <v>71</v>
      </c>
    </row>
    <row r="582" spans="1:7" x14ac:dyDescent="0.25">
      <c r="A582" s="124" t="s">
        <v>189</v>
      </c>
      <c r="B582" s="81"/>
      <c r="C582" s="81"/>
      <c r="D582" s="81"/>
      <c r="E582" s="81" t="s">
        <v>3</v>
      </c>
      <c r="F582" s="36">
        <f>380*(1+E5)</f>
        <v>380</v>
      </c>
      <c r="G582" s="74" t="s">
        <v>71</v>
      </c>
    </row>
    <row r="583" spans="1:7" x14ac:dyDescent="0.25">
      <c r="A583" s="124" t="s">
        <v>190</v>
      </c>
      <c r="B583" s="81"/>
      <c r="C583" s="81"/>
      <c r="D583" s="81"/>
      <c r="E583" s="81" t="s">
        <v>3</v>
      </c>
      <c r="F583" s="36">
        <f>240*(1+E5)</f>
        <v>240</v>
      </c>
      <c r="G583" s="74" t="s">
        <v>71</v>
      </c>
    </row>
    <row r="584" spans="1:7" x14ac:dyDescent="0.25">
      <c r="A584" s="124" t="s">
        <v>191</v>
      </c>
      <c r="B584" s="81"/>
      <c r="C584" s="81"/>
      <c r="D584" s="81"/>
      <c r="E584" s="81" t="s">
        <v>3</v>
      </c>
      <c r="F584" s="36">
        <f>590*(1+E5)</f>
        <v>590</v>
      </c>
      <c r="G584" s="74" t="s">
        <v>71</v>
      </c>
    </row>
    <row r="585" spans="1:7" x14ac:dyDescent="0.25">
      <c r="A585" s="124" t="s">
        <v>192</v>
      </c>
      <c r="B585" s="81"/>
      <c r="C585" s="81"/>
      <c r="D585" s="81"/>
      <c r="E585" s="81" t="s">
        <v>3</v>
      </c>
      <c r="F585" s="36">
        <f>660*(1+E5)</f>
        <v>660</v>
      </c>
      <c r="G585" s="74" t="s">
        <v>71</v>
      </c>
    </row>
    <row r="586" spans="1:7" x14ac:dyDescent="0.25">
      <c r="A586" s="124" t="s">
        <v>193</v>
      </c>
      <c r="B586" s="81"/>
      <c r="C586" s="81"/>
      <c r="D586" s="81"/>
      <c r="E586" s="81" t="s">
        <v>3</v>
      </c>
      <c r="F586" s="36">
        <f>590*(1+E5)</f>
        <v>590</v>
      </c>
      <c r="G586" s="74" t="s">
        <v>71</v>
      </c>
    </row>
    <row r="587" spans="1:7" x14ac:dyDescent="0.25">
      <c r="A587" s="124" t="s">
        <v>194</v>
      </c>
      <c r="B587" s="81"/>
      <c r="C587" s="81"/>
      <c r="D587" s="81"/>
      <c r="E587" s="81" t="s">
        <v>3</v>
      </c>
      <c r="F587" s="36">
        <f>120*(1+E5)</f>
        <v>120</v>
      </c>
      <c r="G587" s="74" t="s">
        <v>71</v>
      </c>
    </row>
    <row r="588" spans="1:7" x14ac:dyDescent="0.25">
      <c r="A588" s="124" t="s">
        <v>195</v>
      </c>
      <c r="B588" s="81"/>
      <c r="C588" s="81"/>
      <c r="D588" s="81"/>
      <c r="E588" s="81" t="s">
        <v>3</v>
      </c>
      <c r="F588" s="36">
        <f>590*(1+E5)</f>
        <v>590</v>
      </c>
      <c r="G588" s="74" t="s">
        <v>71</v>
      </c>
    </row>
    <row r="589" spans="1:7" x14ac:dyDescent="0.25">
      <c r="A589" s="124" t="s">
        <v>196</v>
      </c>
      <c r="B589" s="81"/>
      <c r="C589" s="81"/>
      <c r="D589" s="81"/>
      <c r="E589" s="81" t="s">
        <v>3</v>
      </c>
      <c r="F589" s="36">
        <f>440*(1+E5)</f>
        <v>440</v>
      </c>
      <c r="G589" s="74" t="s">
        <v>71</v>
      </c>
    </row>
    <row r="590" spans="1:7" x14ac:dyDescent="0.25">
      <c r="A590" s="124" t="s">
        <v>197</v>
      </c>
      <c r="B590" s="81"/>
      <c r="C590" s="81"/>
      <c r="D590" s="81"/>
      <c r="E590" s="81" t="s">
        <v>3</v>
      </c>
      <c r="F590" s="36">
        <f>770*(1+E5)</f>
        <v>770</v>
      </c>
      <c r="G590" s="74" t="s">
        <v>71</v>
      </c>
    </row>
    <row r="591" spans="1:7" x14ac:dyDescent="0.25">
      <c r="A591" s="124" t="s">
        <v>198</v>
      </c>
      <c r="B591" s="81"/>
      <c r="C591" s="81"/>
      <c r="D591" s="81"/>
      <c r="E591" s="81" t="s">
        <v>3</v>
      </c>
      <c r="F591" s="36">
        <f>330*(1+E5)</f>
        <v>330</v>
      </c>
      <c r="G591" s="74" t="s">
        <v>71</v>
      </c>
    </row>
    <row r="592" spans="1:7" x14ac:dyDescent="0.25">
      <c r="A592" s="124" t="s">
        <v>199</v>
      </c>
      <c r="B592" s="81"/>
      <c r="C592" s="81"/>
      <c r="D592" s="81"/>
      <c r="E592" s="81" t="s">
        <v>3</v>
      </c>
      <c r="F592" s="36">
        <f>510*(1+E5)</f>
        <v>510</v>
      </c>
      <c r="G592" s="74" t="s">
        <v>71</v>
      </c>
    </row>
    <row r="593" spans="1:7" x14ac:dyDescent="0.25">
      <c r="A593" s="124" t="s">
        <v>200</v>
      </c>
      <c r="B593" s="81"/>
      <c r="C593" s="81"/>
      <c r="D593" s="81"/>
      <c r="E593" s="81" t="s">
        <v>3</v>
      </c>
      <c r="F593" s="36">
        <f>420*(1+E5)</f>
        <v>420</v>
      </c>
      <c r="G593" s="74" t="s">
        <v>71</v>
      </c>
    </row>
    <row r="594" spans="1:7" x14ac:dyDescent="0.25">
      <c r="A594" s="124" t="s">
        <v>201</v>
      </c>
      <c r="B594" s="81"/>
      <c r="C594" s="81"/>
      <c r="D594" s="81"/>
      <c r="E594" s="81" t="s">
        <v>3</v>
      </c>
      <c r="F594" s="36">
        <f>670*(1+E5)</f>
        <v>670</v>
      </c>
      <c r="G594" s="74" t="s">
        <v>71</v>
      </c>
    </row>
    <row r="595" spans="1:7" x14ac:dyDescent="0.25">
      <c r="A595" s="124" t="s">
        <v>202</v>
      </c>
      <c r="B595" s="81"/>
      <c r="C595" s="81"/>
      <c r="D595" s="81"/>
      <c r="E595" s="81" t="s">
        <v>3</v>
      </c>
      <c r="F595" s="36">
        <f>370*(1+E5)</f>
        <v>370</v>
      </c>
      <c r="G595" s="74" t="s">
        <v>71</v>
      </c>
    </row>
    <row r="596" spans="1:7" x14ac:dyDescent="0.25">
      <c r="A596" s="124" t="s">
        <v>203</v>
      </c>
      <c r="B596" s="81"/>
      <c r="C596" s="81"/>
      <c r="D596" s="81"/>
      <c r="E596" s="81" t="s">
        <v>3</v>
      </c>
      <c r="F596" s="36">
        <f>530*(1+E5)</f>
        <v>530</v>
      </c>
      <c r="G596" s="74" t="s">
        <v>71</v>
      </c>
    </row>
    <row r="597" spans="1:7" x14ac:dyDescent="0.25">
      <c r="A597" s="124" t="s">
        <v>204</v>
      </c>
      <c r="B597" s="81"/>
      <c r="C597" s="81"/>
      <c r="D597" s="81"/>
      <c r="E597" s="81" t="s">
        <v>3</v>
      </c>
      <c r="F597" s="36">
        <f>340*(1+E5)</f>
        <v>340</v>
      </c>
      <c r="G597" s="74" t="s">
        <v>71</v>
      </c>
    </row>
    <row r="598" spans="1:7" x14ac:dyDescent="0.25">
      <c r="A598" s="124" t="s">
        <v>205</v>
      </c>
      <c r="B598" s="81"/>
      <c r="C598" s="81"/>
      <c r="D598" s="81"/>
      <c r="E598" s="81" t="s">
        <v>3</v>
      </c>
      <c r="F598" s="36">
        <f>560*(1+E5)</f>
        <v>560</v>
      </c>
      <c r="G598" s="74" t="s">
        <v>71</v>
      </c>
    </row>
    <row r="599" spans="1:7" x14ac:dyDescent="0.25">
      <c r="A599" s="124" t="s">
        <v>206</v>
      </c>
      <c r="B599" s="81"/>
      <c r="C599" s="81"/>
      <c r="D599" s="81"/>
      <c r="E599" s="81" t="s">
        <v>3</v>
      </c>
      <c r="F599" s="36">
        <f>810*(1+E5)</f>
        <v>810</v>
      </c>
      <c r="G599" s="74" t="s">
        <v>71</v>
      </c>
    </row>
    <row r="600" spans="1:7" x14ac:dyDescent="0.25">
      <c r="A600" s="124" t="s">
        <v>207</v>
      </c>
      <c r="B600" s="81"/>
      <c r="C600" s="81"/>
      <c r="D600" s="81"/>
      <c r="E600" s="81" t="s">
        <v>3</v>
      </c>
      <c r="F600" s="36">
        <f>510*(1+E5)</f>
        <v>510</v>
      </c>
      <c r="G600" s="74" t="s">
        <v>71</v>
      </c>
    </row>
    <row r="601" spans="1:7" x14ac:dyDescent="0.25">
      <c r="A601" s="124" t="s">
        <v>208</v>
      </c>
      <c r="B601" s="81"/>
      <c r="C601" s="81"/>
      <c r="D601" s="81"/>
      <c r="E601" s="81" t="s">
        <v>3</v>
      </c>
      <c r="F601" s="36">
        <f>320*(1+E5)</f>
        <v>320</v>
      </c>
      <c r="G601" s="74" t="s">
        <v>71</v>
      </c>
    </row>
    <row r="602" spans="1:7" x14ac:dyDescent="0.25">
      <c r="A602" s="124" t="s">
        <v>209</v>
      </c>
      <c r="B602" s="81"/>
      <c r="C602" s="81"/>
      <c r="D602" s="81"/>
      <c r="E602" s="81" t="s">
        <v>3</v>
      </c>
      <c r="F602" s="36">
        <f>390*(1+E5)</f>
        <v>390</v>
      </c>
      <c r="G602" s="74" t="s">
        <v>71</v>
      </c>
    </row>
    <row r="603" spans="1:7" x14ac:dyDescent="0.25">
      <c r="A603" s="124" t="s">
        <v>210</v>
      </c>
      <c r="B603" s="81"/>
      <c r="C603" s="81"/>
      <c r="D603" s="81"/>
      <c r="E603" s="81" t="s">
        <v>3</v>
      </c>
      <c r="F603" s="36">
        <f>190*(1+E5)</f>
        <v>190</v>
      </c>
      <c r="G603" s="74" t="s">
        <v>71</v>
      </c>
    </row>
    <row r="604" spans="1:7" x14ac:dyDescent="0.25">
      <c r="A604" s="124" t="s">
        <v>211</v>
      </c>
      <c r="B604" s="81"/>
      <c r="C604" s="81"/>
      <c r="D604" s="81"/>
      <c r="E604" s="81" t="s">
        <v>3</v>
      </c>
      <c r="F604" s="36">
        <f>390*(1+E5)</f>
        <v>390</v>
      </c>
      <c r="G604" s="74" t="s">
        <v>71</v>
      </c>
    </row>
    <row r="605" spans="1:7" x14ac:dyDescent="0.25">
      <c r="A605" s="124" t="s">
        <v>212</v>
      </c>
      <c r="B605" s="81"/>
      <c r="C605" s="81"/>
      <c r="D605" s="81"/>
      <c r="E605" s="81" t="s">
        <v>3</v>
      </c>
      <c r="F605" s="36">
        <f>480*(1+E5)</f>
        <v>480</v>
      </c>
      <c r="G605" s="74" t="s">
        <v>71</v>
      </c>
    </row>
    <row r="606" spans="1:7" x14ac:dyDescent="0.25">
      <c r="A606" s="124" t="s">
        <v>213</v>
      </c>
      <c r="B606" s="81"/>
      <c r="C606" s="81"/>
      <c r="D606" s="81"/>
      <c r="E606" s="81" t="s">
        <v>3</v>
      </c>
      <c r="F606" s="36">
        <f>780*(1+E5)</f>
        <v>780</v>
      </c>
      <c r="G606" s="74" t="s">
        <v>71</v>
      </c>
    </row>
    <row r="607" spans="1:7" x14ac:dyDescent="0.25">
      <c r="A607" s="124" t="s">
        <v>214</v>
      </c>
      <c r="B607" s="81"/>
      <c r="C607" s="81"/>
      <c r="D607" s="81"/>
      <c r="E607" s="81" t="s">
        <v>3</v>
      </c>
      <c r="F607" s="36">
        <f>490*(1+E5)</f>
        <v>490</v>
      </c>
      <c r="G607" s="74" t="s">
        <v>71</v>
      </c>
    </row>
    <row r="608" spans="1:7" x14ac:dyDescent="0.25">
      <c r="A608" s="124" t="s">
        <v>215</v>
      </c>
      <c r="B608" s="81"/>
      <c r="C608" s="81"/>
      <c r="D608" s="81"/>
      <c r="E608" s="81" t="s">
        <v>3</v>
      </c>
      <c r="F608" s="36">
        <f>770*(1+E5)</f>
        <v>770</v>
      </c>
      <c r="G608" s="74" t="s">
        <v>71</v>
      </c>
    </row>
    <row r="609" spans="1:7" x14ac:dyDescent="0.25">
      <c r="A609" s="124" t="s">
        <v>216</v>
      </c>
      <c r="B609" s="81"/>
      <c r="C609" s="81"/>
      <c r="D609" s="81"/>
      <c r="E609" s="81" t="s">
        <v>3</v>
      </c>
      <c r="F609" s="36">
        <f>450*(1+E5)</f>
        <v>450</v>
      </c>
      <c r="G609" s="74" t="s">
        <v>71</v>
      </c>
    </row>
    <row r="610" spans="1:7" x14ac:dyDescent="0.25">
      <c r="A610" s="124" t="s">
        <v>217</v>
      </c>
      <c r="B610" s="81"/>
      <c r="C610" s="81"/>
      <c r="D610" s="81"/>
      <c r="E610" s="81" t="s">
        <v>3</v>
      </c>
      <c r="F610" s="36">
        <f>790*(1+E5)</f>
        <v>790</v>
      </c>
      <c r="G610" s="74" t="s">
        <v>71</v>
      </c>
    </row>
    <row r="611" spans="1:7" x14ac:dyDescent="0.25">
      <c r="A611" s="124" t="s">
        <v>218</v>
      </c>
      <c r="B611" s="81"/>
      <c r="C611" s="81"/>
      <c r="D611" s="81"/>
      <c r="E611" s="81" t="s">
        <v>3</v>
      </c>
      <c r="F611" s="36">
        <f>800*(1+E5)</f>
        <v>800</v>
      </c>
      <c r="G611" s="74" t="s">
        <v>71</v>
      </c>
    </row>
    <row r="612" spans="1:7" x14ac:dyDescent="0.25">
      <c r="A612" s="124" t="s">
        <v>219</v>
      </c>
      <c r="B612" s="81"/>
      <c r="C612" s="81"/>
      <c r="D612" s="81"/>
      <c r="E612" s="81" t="s">
        <v>3</v>
      </c>
      <c r="F612" s="36">
        <f>600*(1+E5)</f>
        <v>600</v>
      </c>
      <c r="G612" s="74" t="s">
        <v>71</v>
      </c>
    </row>
    <row r="613" spans="1:7" x14ac:dyDescent="0.25">
      <c r="A613" s="124" t="s">
        <v>220</v>
      </c>
      <c r="B613" s="81"/>
      <c r="C613" s="81"/>
      <c r="D613" s="81"/>
      <c r="E613" s="81" t="s">
        <v>3</v>
      </c>
      <c r="F613" s="36">
        <f>460*(1+E5)</f>
        <v>460</v>
      </c>
      <c r="G613" s="74" t="s">
        <v>71</v>
      </c>
    </row>
    <row r="614" spans="1:7" x14ac:dyDescent="0.25">
      <c r="A614" s="124" t="s">
        <v>221</v>
      </c>
      <c r="B614" s="81"/>
      <c r="C614" s="81"/>
      <c r="D614" s="81"/>
      <c r="E614" s="81" t="s">
        <v>3</v>
      </c>
      <c r="F614" s="36">
        <f>610*(1+E5)</f>
        <v>610</v>
      </c>
      <c r="G614" s="74" t="s">
        <v>71</v>
      </c>
    </row>
    <row r="615" spans="1:7" x14ac:dyDescent="0.25">
      <c r="A615" s="124" t="s">
        <v>222</v>
      </c>
      <c r="B615" s="81"/>
      <c r="C615" s="81"/>
      <c r="D615" s="81"/>
      <c r="E615" s="81" t="s">
        <v>3</v>
      </c>
      <c r="F615" s="36">
        <f>230*(1+E5)</f>
        <v>230</v>
      </c>
      <c r="G615" s="74" t="s">
        <v>71</v>
      </c>
    </row>
    <row r="616" spans="1:7" x14ac:dyDescent="0.25">
      <c r="A616" s="124" t="s">
        <v>223</v>
      </c>
      <c r="B616" s="81"/>
      <c r="C616" s="81"/>
      <c r="D616" s="81"/>
      <c r="E616" s="81" t="s">
        <v>3</v>
      </c>
      <c r="F616" s="36">
        <f>540*(1+E5)</f>
        <v>540</v>
      </c>
      <c r="G616" s="74" t="s">
        <v>71</v>
      </c>
    </row>
    <row r="617" spans="1:7" x14ac:dyDescent="0.25">
      <c r="A617" s="124" t="s">
        <v>224</v>
      </c>
      <c r="B617" s="81"/>
      <c r="C617" s="81"/>
      <c r="D617" s="81"/>
      <c r="E617" s="81" t="s">
        <v>3</v>
      </c>
      <c r="F617" s="36">
        <f>1400*(1+E5)</f>
        <v>1400</v>
      </c>
      <c r="G617" s="74" t="s">
        <v>71</v>
      </c>
    </row>
    <row r="618" spans="1:7" x14ac:dyDescent="0.25">
      <c r="A618" s="124" t="s">
        <v>225</v>
      </c>
      <c r="B618" s="81"/>
      <c r="C618" s="81"/>
      <c r="D618" s="81"/>
      <c r="E618" s="81" t="s">
        <v>3</v>
      </c>
      <c r="F618" s="36">
        <f>1370*(1+E5)</f>
        <v>1370</v>
      </c>
      <c r="G618" s="74" t="s">
        <v>71</v>
      </c>
    </row>
    <row r="619" spans="1:7" x14ac:dyDescent="0.25">
      <c r="A619" s="124" t="s">
        <v>226</v>
      </c>
      <c r="B619" s="81"/>
      <c r="C619" s="81"/>
      <c r="D619" s="81"/>
      <c r="E619" s="81" t="s">
        <v>3</v>
      </c>
      <c r="F619" s="36">
        <f>140*(1+E5)</f>
        <v>140</v>
      </c>
      <c r="G619" s="74" t="s">
        <v>71</v>
      </c>
    </row>
    <row r="620" spans="1:7" x14ac:dyDescent="0.25">
      <c r="A620" s="124" t="s">
        <v>227</v>
      </c>
      <c r="B620" s="81"/>
      <c r="C620" s="81"/>
      <c r="D620" s="81"/>
      <c r="E620" s="81" t="s">
        <v>3</v>
      </c>
      <c r="F620" s="36">
        <f>240*(1+E5)</f>
        <v>240</v>
      </c>
      <c r="G620" s="74" t="s">
        <v>71</v>
      </c>
    </row>
    <row r="621" spans="1:7" x14ac:dyDescent="0.25">
      <c r="A621" s="124" t="s">
        <v>228</v>
      </c>
      <c r="B621" s="81"/>
      <c r="C621" s="81"/>
      <c r="D621" s="81"/>
      <c r="E621" s="81" t="s">
        <v>3</v>
      </c>
      <c r="F621" s="36">
        <f>130*(1+E5)</f>
        <v>130</v>
      </c>
      <c r="G621" s="74" t="s">
        <v>71</v>
      </c>
    </row>
    <row r="622" spans="1:7" x14ac:dyDescent="0.25">
      <c r="A622" s="124" t="s">
        <v>229</v>
      </c>
      <c r="B622" s="81"/>
      <c r="C622" s="81"/>
      <c r="D622" s="81"/>
      <c r="E622" s="81" t="s">
        <v>3</v>
      </c>
      <c r="F622" s="36">
        <f>210*(1+E5)</f>
        <v>210</v>
      </c>
      <c r="G622" s="74" t="s">
        <v>71</v>
      </c>
    </row>
    <row r="623" spans="1:7" x14ac:dyDescent="0.25">
      <c r="A623" s="124" t="s">
        <v>230</v>
      </c>
      <c r="B623" s="81"/>
      <c r="C623" s="81"/>
      <c r="D623" s="81"/>
      <c r="E623" s="81" t="s">
        <v>3</v>
      </c>
      <c r="F623" s="36">
        <f>520*(1+E5)</f>
        <v>520</v>
      </c>
      <c r="G623" s="74" t="s">
        <v>71</v>
      </c>
    </row>
    <row r="624" spans="1:7" x14ac:dyDescent="0.25">
      <c r="A624" s="124" t="s">
        <v>231</v>
      </c>
      <c r="B624" s="81"/>
      <c r="C624" s="81"/>
      <c r="D624" s="81"/>
      <c r="E624" s="81" t="s">
        <v>3</v>
      </c>
      <c r="F624" s="36">
        <f>160*(1+E5)</f>
        <v>160</v>
      </c>
      <c r="G624" s="74" t="s">
        <v>71</v>
      </c>
    </row>
    <row r="625" spans="1:7" x14ac:dyDescent="0.25">
      <c r="A625" s="124" t="s">
        <v>232</v>
      </c>
      <c r="B625" s="81"/>
      <c r="C625" s="81"/>
      <c r="D625" s="81"/>
      <c r="E625" s="81" t="s">
        <v>3</v>
      </c>
      <c r="F625" s="36">
        <f>180*(1+E5)</f>
        <v>180</v>
      </c>
      <c r="G625" s="74" t="s">
        <v>71</v>
      </c>
    </row>
    <row r="626" spans="1:7" x14ac:dyDescent="0.25">
      <c r="A626" s="124" t="s">
        <v>233</v>
      </c>
      <c r="B626" s="81"/>
      <c r="C626" s="81"/>
      <c r="D626" s="81"/>
      <c r="E626" s="81" t="s">
        <v>3</v>
      </c>
      <c r="F626" s="36">
        <f>400*(1+E5)</f>
        <v>400</v>
      </c>
      <c r="G626" s="74" t="s">
        <v>71</v>
      </c>
    </row>
    <row r="627" spans="1:7" x14ac:dyDescent="0.25">
      <c r="A627" s="124" t="s">
        <v>234</v>
      </c>
      <c r="B627" s="81"/>
      <c r="C627" s="81"/>
      <c r="D627" s="81"/>
      <c r="E627" s="81" t="s">
        <v>3</v>
      </c>
      <c r="F627" s="36">
        <f>270*(1+E5)</f>
        <v>270</v>
      </c>
      <c r="G627" s="74" t="s">
        <v>71</v>
      </c>
    </row>
    <row r="628" spans="1:7" x14ac:dyDescent="0.25">
      <c r="A628" s="124" t="s">
        <v>235</v>
      </c>
      <c r="B628" s="81"/>
      <c r="C628" s="81"/>
      <c r="D628" s="81"/>
      <c r="E628" s="81" t="s">
        <v>3</v>
      </c>
      <c r="F628" s="36">
        <f>160*(1+E5)</f>
        <v>160</v>
      </c>
      <c r="G628" s="74" t="s">
        <v>71</v>
      </c>
    </row>
    <row r="629" spans="1:7" x14ac:dyDescent="0.25">
      <c r="A629" s="124" t="s">
        <v>236</v>
      </c>
      <c r="B629" s="81"/>
      <c r="C629" s="81"/>
      <c r="D629" s="81"/>
      <c r="E629" s="81" t="s">
        <v>3</v>
      </c>
      <c r="F629" s="36">
        <f>210*(1+E5)</f>
        <v>210</v>
      </c>
      <c r="G629" s="74" t="s">
        <v>71</v>
      </c>
    </row>
    <row r="630" spans="1:7" x14ac:dyDescent="0.25">
      <c r="A630" s="124" t="s">
        <v>237</v>
      </c>
      <c r="B630" s="81"/>
      <c r="C630" s="81"/>
      <c r="D630" s="81"/>
      <c r="E630" s="81" t="s">
        <v>3</v>
      </c>
      <c r="F630" s="36">
        <f>610*(1+E5)</f>
        <v>610</v>
      </c>
      <c r="G630" s="74" t="s">
        <v>71</v>
      </c>
    </row>
    <row r="631" spans="1:7" x14ac:dyDescent="0.25">
      <c r="A631" s="124" t="s">
        <v>238</v>
      </c>
      <c r="B631" s="81"/>
      <c r="C631" s="81"/>
      <c r="D631" s="81"/>
      <c r="E631" s="81" t="s">
        <v>3</v>
      </c>
      <c r="F631" s="36">
        <f>250*(1+E5)</f>
        <v>250</v>
      </c>
      <c r="G631" s="74" t="s">
        <v>71</v>
      </c>
    </row>
    <row r="632" spans="1:7" x14ac:dyDescent="0.25">
      <c r="A632" s="124" t="s">
        <v>239</v>
      </c>
      <c r="B632" s="81"/>
      <c r="C632" s="81"/>
      <c r="D632" s="81"/>
      <c r="E632" s="81" t="s">
        <v>3</v>
      </c>
      <c r="F632" s="36">
        <f>160*(1+E5)</f>
        <v>160</v>
      </c>
      <c r="G632" s="74" t="s">
        <v>71</v>
      </c>
    </row>
    <row r="633" spans="1:7" x14ac:dyDescent="0.25">
      <c r="A633" s="124" t="s">
        <v>240</v>
      </c>
      <c r="B633" s="81"/>
      <c r="C633" s="81"/>
      <c r="D633" s="81"/>
      <c r="E633" s="81" t="s">
        <v>3</v>
      </c>
      <c r="F633" s="36">
        <f>400*(1+E5)</f>
        <v>400</v>
      </c>
      <c r="G633" s="74" t="s">
        <v>71</v>
      </c>
    </row>
    <row r="634" spans="1:7" x14ac:dyDescent="0.25">
      <c r="A634" s="124" t="s">
        <v>241</v>
      </c>
      <c r="B634" s="81"/>
      <c r="C634" s="81"/>
      <c r="D634" s="81"/>
      <c r="E634" s="81" t="s">
        <v>3</v>
      </c>
      <c r="F634" s="36">
        <f>650*(1+E5)</f>
        <v>650</v>
      </c>
      <c r="G634" s="74" t="s">
        <v>71</v>
      </c>
    </row>
    <row r="635" spans="1:7" x14ac:dyDescent="0.25">
      <c r="A635" s="124" t="s">
        <v>242</v>
      </c>
      <c r="B635" s="81"/>
      <c r="C635" s="81"/>
      <c r="D635" s="81"/>
      <c r="E635" s="81" t="s">
        <v>3</v>
      </c>
      <c r="F635" s="36">
        <f>460*(1+E5)</f>
        <v>460</v>
      </c>
      <c r="G635" s="74" t="s">
        <v>71</v>
      </c>
    </row>
    <row r="636" spans="1:7" x14ac:dyDescent="0.25">
      <c r="A636" s="124" t="s">
        <v>243</v>
      </c>
      <c r="B636" s="81"/>
      <c r="C636" s="81"/>
      <c r="D636" s="81"/>
      <c r="E636" s="81" t="s">
        <v>3</v>
      </c>
      <c r="F636" s="36">
        <f>180*(1+E5)</f>
        <v>180</v>
      </c>
      <c r="G636" s="74" t="s">
        <v>71</v>
      </c>
    </row>
    <row r="637" spans="1:7" x14ac:dyDescent="0.25">
      <c r="A637" s="124" t="s">
        <v>244</v>
      </c>
      <c r="B637" s="81"/>
      <c r="C637" s="81"/>
      <c r="D637" s="81"/>
      <c r="E637" s="81" t="s">
        <v>3</v>
      </c>
      <c r="F637" s="36">
        <f>60*(1+E5)</f>
        <v>60</v>
      </c>
      <c r="G637" s="74" t="s">
        <v>71</v>
      </c>
    </row>
    <row r="638" spans="1:7" x14ac:dyDescent="0.25">
      <c r="A638" s="124" t="s">
        <v>245</v>
      </c>
      <c r="B638" s="81"/>
      <c r="C638" s="81"/>
      <c r="D638" s="81"/>
      <c r="E638" s="81" t="s">
        <v>3</v>
      </c>
      <c r="F638" s="36">
        <f>470*(1+E5)</f>
        <v>470</v>
      </c>
      <c r="G638" s="74" t="s">
        <v>71</v>
      </c>
    </row>
    <row r="639" spans="1:7" x14ac:dyDescent="0.25">
      <c r="A639" s="124" t="s">
        <v>246</v>
      </c>
      <c r="B639" s="81"/>
      <c r="C639" s="81"/>
      <c r="D639" s="81"/>
      <c r="E639" s="81" t="s">
        <v>3</v>
      </c>
      <c r="F639" s="36">
        <f>620*(1+E5)</f>
        <v>620</v>
      </c>
      <c r="G639" s="74" t="s">
        <v>71</v>
      </c>
    </row>
    <row r="640" spans="1:7" x14ac:dyDescent="0.25">
      <c r="A640" s="124" t="s">
        <v>247</v>
      </c>
      <c r="B640" s="81"/>
      <c r="C640" s="81"/>
      <c r="D640" s="81"/>
      <c r="E640" s="81" t="s">
        <v>3</v>
      </c>
      <c r="F640" s="36">
        <f>740*(1+E5)</f>
        <v>740</v>
      </c>
      <c r="G640" s="74" t="s">
        <v>71</v>
      </c>
    </row>
    <row r="641" spans="1:7" x14ac:dyDescent="0.25">
      <c r="A641" s="124" t="s">
        <v>248</v>
      </c>
      <c r="B641" s="81"/>
      <c r="C641" s="81"/>
      <c r="D641" s="81"/>
      <c r="E641" s="81" t="s">
        <v>3</v>
      </c>
      <c r="F641" s="36">
        <f>350*(1+E5)</f>
        <v>350</v>
      </c>
      <c r="G641" s="74" t="s">
        <v>71</v>
      </c>
    </row>
    <row r="642" spans="1:7" x14ac:dyDescent="0.25">
      <c r="A642" s="124" t="s">
        <v>249</v>
      </c>
      <c r="B642" s="81"/>
      <c r="C642" s="81"/>
      <c r="D642" s="81"/>
      <c r="E642" s="81" t="s">
        <v>3</v>
      </c>
      <c r="F642" s="36">
        <f>760*(1+E5)</f>
        <v>760</v>
      </c>
      <c r="G642" s="74" t="s">
        <v>71</v>
      </c>
    </row>
    <row r="643" spans="1:7" x14ac:dyDescent="0.25">
      <c r="A643" s="124" t="s">
        <v>250</v>
      </c>
      <c r="B643" s="81"/>
      <c r="C643" s="81"/>
      <c r="D643" s="81"/>
      <c r="E643" s="81" t="s">
        <v>3</v>
      </c>
      <c r="F643" s="36">
        <f>290*(1+E5)</f>
        <v>290</v>
      </c>
      <c r="G643" s="74" t="s">
        <v>71</v>
      </c>
    </row>
    <row r="644" spans="1:7" x14ac:dyDescent="0.25">
      <c r="A644" s="124" t="s">
        <v>251</v>
      </c>
      <c r="B644" s="81"/>
      <c r="C644" s="81"/>
      <c r="D644" s="81"/>
      <c r="E644" s="81" t="s">
        <v>3</v>
      </c>
      <c r="F644" s="36">
        <f>610*(1+E5)</f>
        <v>610</v>
      </c>
      <c r="G644" s="74" t="s">
        <v>71</v>
      </c>
    </row>
    <row r="645" spans="1:7" x14ac:dyDescent="0.25">
      <c r="A645" s="124" t="s">
        <v>252</v>
      </c>
      <c r="B645" s="81"/>
      <c r="C645" s="81"/>
      <c r="D645" s="81"/>
      <c r="E645" s="81" t="s">
        <v>3</v>
      </c>
      <c r="F645" s="36">
        <f>40*(1+E5)</f>
        <v>40</v>
      </c>
      <c r="G645" s="74" t="s">
        <v>71</v>
      </c>
    </row>
    <row r="646" spans="1:7" x14ac:dyDescent="0.25">
      <c r="A646" s="124" t="s">
        <v>253</v>
      </c>
      <c r="B646" s="81"/>
      <c r="C646" s="81"/>
      <c r="D646" s="81"/>
      <c r="E646" s="81" t="s">
        <v>3</v>
      </c>
      <c r="F646" s="36">
        <f>80*(1+E5)</f>
        <v>80</v>
      </c>
      <c r="G646" s="74" t="s">
        <v>71</v>
      </c>
    </row>
    <row r="647" spans="1:7" x14ac:dyDescent="0.25">
      <c r="A647" s="124" t="s">
        <v>254</v>
      </c>
      <c r="B647" s="81"/>
      <c r="C647" s="81"/>
      <c r="D647" s="81"/>
      <c r="E647" s="81" t="s">
        <v>3</v>
      </c>
      <c r="F647" s="36">
        <f>80*(1+E5)</f>
        <v>80</v>
      </c>
      <c r="G647" s="74" t="s">
        <v>71</v>
      </c>
    </row>
    <row r="648" spans="1:7" x14ac:dyDescent="0.25">
      <c r="A648" s="124" t="s">
        <v>255</v>
      </c>
      <c r="B648" s="81"/>
      <c r="C648" s="81"/>
      <c r="D648" s="81"/>
      <c r="E648" s="81" t="s">
        <v>3</v>
      </c>
      <c r="F648" s="36">
        <f>100*(1+E5)</f>
        <v>100</v>
      </c>
      <c r="G648" s="74" t="s">
        <v>71</v>
      </c>
    </row>
    <row r="649" spans="1:7" x14ac:dyDescent="0.25">
      <c r="A649" s="124" t="s">
        <v>256</v>
      </c>
      <c r="B649" s="81"/>
      <c r="C649" s="81"/>
      <c r="D649" s="81"/>
      <c r="E649" s="81" t="s">
        <v>3</v>
      </c>
      <c r="F649" s="36">
        <f>150*(1+E5)</f>
        <v>150</v>
      </c>
      <c r="G649" s="74" t="s">
        <v>71</v>
      </c>
    </row>
    <row r="650" spans="1:7" x14ac:dyDescent="0.25">
      <c r="A650" s="124" t="s">
        <v>257</v>
      </c>
      <c r="B650" s="81"/>
      <c r="C650" s="81"/>
      <c r="D650" s="81"/>
      <c r="E650" s="81" t="s">
        <v>3</v>
      </c>
      <c r="F650" s="36">
        <f>40*(1+E5)</f>
        <v>40</v>
      </c>
      <c r="G650" s="74" t="s">
        <v>71</v>
      </c>
    </row>
    <row r="651" spans="1:7" x14ac:dyDescent="0.25">
      <c r="A651" s="124" t="s">
        <v>258</v>
      </c>
      <c r="B651" s="81"/>
      <c r="C651" s="81"/>
      <c r="D651" s="81"/>
      <c r="E651" s="81" t="s">
        <v>3</v>
      </c>
      <c r="F651" s="36">
        <f>80*(1+E5)</f>
        <v>80</v>
      </c>
      <c r="G651" s="74" t="s">
        <v>71</v>
      </c>
    </row>
    <row r="652" spans="1:7" x14ac:dyDescent="0.25">
      <c r="A652" s="124" t="s">
        <v>259</v>
      </c>
      <c r="B652" s="81"/>
      <c r="C652" s="81"/>
      <c r="D652" s="81"/>
      <c r="E652" s="81" t="s">
        <v>3</v>
      </c>
      <c r="F652" s="36">
        <f>140*(1+E5)</f>
        <v>140</v>
      </c>
      <c r="G652" s="74" t="s">
        <v>71</v>
      </c>
    </row>
    <row r="653" spans="1:7" x14ac:dyDescent="0.25">
      <c r="A653" s="124" t="s">
        <v>260</v>
      </c>
      <c r="B653" s="81"/>
      <c r="C653" s="81"/>
      <c r="D653" s="81"/>
      <c r="E653" s="81" t="s">
        <v>3</v>
      </c>
      <c r="F653" s="36">
        <f>200*(1+E5)</f>
        <v>200</v>
      </c>
      <c r="G653" s="74" t="s">
        <v>71</v>
      </c>
    </row>
    <row r="654" spans="1:7" x14ac:dyDescent="0.25">
      <c r="A654" s="124" t="s">
        <v>261</v>
      </c>
      <c r="B654" s="81"/>
      <c r="C654" s="81"/>
      <c r="D654" s="81"/>
      <c r="E654" s="81" t="s">
        <v>3</v>
      </c>
      <c r="F654" s="36">
        <f>100*(1+E5)</f>
        <v>100</v>
      </c>
      <c r="G654" s="74" t="s">
        <v>71</v>
      </c>
    </row>
    <row r="655" spans="1:7" x14ac:dyDescent="0.25">
      <c r="A655" s="124" t="s">
        <v>262</v>
      </c>
      <c r="B655" s="81"/>
      <c r="C655" s="81"/>
      <c r="D655" s="81"/>
      <c r="E655" s="81" t="s">
        <v>3</v>
      </c>
      <c r="F655" s="36">
        <f>90*(1+E5)</f>
        <v>90</v>
      </c>
      <c r="G655" s="74" t="s">
        <v>71</v>
      </c>
    </row>
    <row r="656" spans="1:7" x14ac:dyDescent="0.25">
      <c r="A656" s="124" t="s">
        <v>263</v>
      </c>
      <c r="B656" s="81"/>
      <c r="C656" s="81"/>
      <c r="D656" s="81"/>
      <c r="E656" s="81" t="s">
        <v>3</v>
      </c>
      <c r="F656" s="36">
        <f>50*(1+E5)</f>
        <v>50</v>
      </c>
      <c r="G656" s="74" t="s">
        <v>71</v>
      </c>
    </row>
    <row r="657" spans="1:7" x14ac:dyDescent="0.25">
      <c r="A657" s="124" t="s">
        <v>264</v>
      </c>
      <c r="B657" s="81"/>
      <c r="C657" s="81"/>
      <c r="D657" s="81"/>
      <c r="E657" s="81" t="s">
        <v>3</v>
      </c>
      <c r="F657" s="36">
        <f>100*(1+E5)</f>
        <v>100</v>
      </c>
      <c r="G657" s="74" t="s">
        <v>71</v>
      </c>
    </row>
    <row r="658" spans="1:7" x14ac:dyDescent="0.25">
      <c r="A658" s="124" t="s">
        <v>265</v>
      </c>
      <c r="B658" s="81"/>
      <c r="C658" s="81"/>
      <c r="D658" s="81"/>
      <c r="E658" s="81" t="s">
        <v>3</v>
      </c>
      <c r="F658" s="36">
        <f>40*(1+E5)</f>
        <v>40</v>
      </c>
      <c r="G658" s="74" t="s">
        <v>71</v>
      </c>
    </row>
    <row r="659" spans="1:7" x14ac:dyDescent="0.25">
      <c r="A659" s="124" t="s">
        <v>266</v>
      </c>
      <c r="B659" s="81"/>
      <c r="C659" s="81"/>
      <c r="D659" s="81"/>
      <c r="E659" s="81" t="s">
        <v>3</v>
      </c>
      <c r="F659" s="36">
        <f>1600*(1+E5)</f>
        <v>1600</v>
      </c>
      <c r="G659" s="74" t="s">
        <v>71</v>
      </c>
    </row>
    <row r="660" spans="1:7" x14ac:dyDescent="0.25">
      <c r="A660" s="124" t="s">
        <v>267</v>
      </c>
      <c r="B660" s="81"/>
      <c r="C660" s="81"/>
      <c r="D660" s="81"/>
      <c r="E660" s="81" t="s">
        <v>3</v>
      </c>
      <c r="F660" s="36">
        <f>2000*(1+E5)</f>
        <v>2000</v>
      </c>
      <c r="G660" s="74" t="s">
        <v>71</v>
      </c>
    </row>
  </sheetData>
  <sheetProtection algorithmName="SHA-512" hashValue="rboeUZ4ygpHi9Iy/di1sKJfAzcjiw9Abd+SQkHMnfrTfyJOZ9Oro/BIp2o3kGga/sLRmqvfim29gw2VjrgTORQ==" saltValue="lluEN8bL3Z8i9c4Pnv72Mg==" spinCount="100000" sheet="1" formatCells="0" formatColumns="0" formatRows="0" insertColumns="0" insertRows="0" insertHyperlinks="0" deleteColumns="0" deleteRows="0" sort="0" autoFilter="0" pivotTables="0"/>
  <mergeCells count="524">
    <mergeCell ref="B555:B568"/>
    <mergeCell ref="E555:E568"/>
    <mergeCell ref="A556:A557"/>
    <mergeCell ref="A558:A559"/>
    <mergeCell ref="A560:A561"/>
    <mergeCell ref="A562:A563"/>
    <mergeCell ref="A564:A565"/>
    <mergeCell ref="A566:A567"/>
    <mergeCell ref="B125:B138"/>
    <mergeCell ref="E125:E138"/>
    <mergeCell ref="A126:A127"/>
    <mergeCell ref="A128:A129"/>
    <mergeCell ref="A130:A131"/>
    <mergeCell ref="A132:A133"/>
    <mergeCell ref="A134:A135"/>
    <mergeCell ref="A136:A137"/>
    <mergeCell ref="B541:B554"/>
    <mergeCell ref="E541:E554"/>
    <mergeCell ref="A542:A543"/>
    <mergeCell ref="A544:A545"/>
    <mergeCell ref="A546:A547"/>
    <mergeCell ref="A548:A549"/>
    <mergeCell ref="A550:A551"/>
    <mergeCell ref="A552:A553"/>
    <mergeCell ref="E79:E81"/>
    <mergeCell ref="A120:A121"/>
    <mergeCell ref="D120:D121"/>
    <mergeCell ref="C140:C153"/>
    <mergeCell ref="B147:B153"/>
    <mergeCell ref="A193:A194"/>
    <mergeCell ref="D193:D194"/>
    <mergeCell ref="A394:A395"/>
    <mergeCell ref="D394:D395"/>
    <mergeCell ref="C394:C395"/>
    <mergeCell ref="B248:B249"/>
    <mergeCell ref="C199:C200"/>
    <mergeCell ref="D199:D200"/>
    <mergeCell ref="A274:A275"/>
    <mergeCell ref="A362:A365"/>
    <mergeCell ref="B210:B211"/>
    <mergeCell ref="B212:B213"/>
    <mergeCell ref="A177:A178"/>
    <mergeCell ref="D177:D178"/>
    <mergeCell ref="A95:A96"/>
    <mergeCell ref="D378:D379"/>
    <mergeCell ref="A239:A240"/>
    <mergeCell ref="C239:C240"/>
    <mergeCell ref="D239:D240"/>
    <mergeCell ref="A9:A10"/>
    <mergeCell ref="C9:C10"/>
    <mergeCell ref="B9:B14"/>
    <mergeCell ref="B49:B54"/>
    <mergeCell ref="A16:A17"/>
    <mergeCell ref="B16:B23"/>
    <mergeCell ref="A49:A50"/>
    <mergeCell ref="A48:G48"/>
    <mergeCell ref="C49:C50"/>
    <mergeCell ref="C51:C52"/>
    <mergeCell ref="A51:A52"/>
    <mergeCell ref="A18:A19"/>
    <mergeCell ref="A24:G24"/>
    <mergeCell ref="A31:A32"/>
    <mergeCell ref="B31:B36"/>
    <mergeCell ref="A33:A34"/>
    <mergeCell ref="A35:A36"/>
    <mergeCell ref="A37:G37"/>
    <mergeCell ref="C31:C36"/>
    <mergeCell ref="B38:B47"/>
    <mergeCell ref="A25:A26"/>
    <mergeCell ref="A27:A28"/>
    <mergeCell ref="A29:A30"/>
    <mergeCell ref="C11:C12"/>
    <mergeCell ref="C43:C45"/>
    <mergeCell ref="D43:D45"/>
    <mergeCell ref="C197:C198"/>
    <mergeCell ref="D197:D198"/>
    <mergeCell ref="A20:A21"/>
    <mergeCell ref="A22:A23"/>
    <mergeCell ref="A58:A59"/>
    <mergeCell ref="A60:A61"/>
    <mergeCell ref="A62:A63"/>
    <mergeCell ref="A197:A200"/>
    <mergeCell ref="A79:A81"/>
    <mergeCell ref="B79:B86"/>
    <mergeCell ref="D79:D81"/>
    <mergeCell ref="E65:E66"/>
    <mergeCell ref="A64:G64"/>
    <mergeCell ref="B65:B66"/>
    <mergeCell ref="A209:G209"/>
    <mergeCell ref="E43:E45"/>
    <mergeCell ref="A358:A361"/>
    <mergeCell ref="C358:C359"/>
    <mergeCell ref="C364:C365"/>
    <mergeCell ref="D358:D359"/>
    <mergeCell ref="D364:D365"/>
    <mergeCell ref="E197:E198"/>
    <mergeCell ref="E203:E204"/>
    <mergeCell ref="A201:A202"/>
    <mergeCell ref="C201:C202"/>
    <mergeCell ref="A179:A192"/>
    <mergeCell ref="A195:A196"/>
    <mergeCell ref="D195:D196"/>
    <mergeCell ref="D114:D119"/>
    <mergeCell ref="B88:B90"/>
    <mergeCell ref="B68:B77"/>
    <mergeCell ref="A68:A69"/>
    <mergeCell ref="C68:C69"/>
    <mergeCell ref="A87:G87"/>
    <mergeCell ref="D201:D202"/>
    <mergeCell ref="A344:A349"/>
    <mergeCell ref="B344:B346"/>
    <mergeCell ref="D344:D349"/>
    <mergeCell ref="D327:D329"/>
    <mergeCell ref="D307:D309"/>
    <mergeCell ref="D246:D249"/>
    <mergeCell ref="D292:D294"/>
    <mergeCell ref="A280:A294"/>
    <mergeCell ref="B280:B294"/>
    <mergeCell ref="D321:D323"/>
    <mergeCell ref="D312:D314"/>
    <mergeCell ref="D315:D317"/>
    <mergeCell ref="A268:A269"/>
    <mergeCell ref="A270:A271"/>
    <mergeCell ref="A272:A273"/>
    <mergeCell ref="A266:A267"/>
    <mergeCell ref="C266:C267"/>
    <mergeCell ref="B262:B263"/>
    <mergeCell ref="D262:D265"/>
    <mergeCell ref="B264:B265"/>
    <mergeCell ref="A356:A357"/>
    <mergeCell ref="D380:D381"/>
    <mergeCell ref="E394:E395"/>
    <mergeCell ref="C386:C387"/>
    <mergeCell ref="D386:D387"/>
    <mergeCell ref="C388:C389"/>
    <mergeCell ref="D388:D389"/>
    <mergeCell ref="A390:A393"/>
    <mergeCell ref="C390:C391"/>
    <mergeCell ref="D390:D391"/>
    <mergeCell ref="C392:C393"/>
    <mergeCell ref="D392:D393"/>
    <mergeCell ref="E392:E393"/>
    <mergeCell ref="E390:E391"/>
    <mergeCell ref="E372:E373"/>
    <mergeCell ref="E374:E375"/>
    <mergeCell ref="E376:E377"/>
    <mergeCell ref="E378:E379"/>
    <mergeCell ref="E380:E381"/>
    <mergeCell ref="E382:E383"/>
    <mergeCell ref="E384:E385"/>
    <mergeCell ref="E386:E387"/>
    <mergeCell ref="E388:E389"/>
    <mergeCell ref="A13:A14"/>
    <mergeCell ref="C13:C14"/>
    <mergeCell ref="A15:G15"/>
    <mergeCell ref="C88:C90"/>
    <mergeCell ref="C99:C110"/>
    <mergeCell ref="A123:G123"/>
    <mergeCell ref="A99:A100"/>
    <mergeCell ref="A107:A108"/>
    <mergeCell ref="A67:G67"/>
    <mergeCell ref="A78:G78"/>
    <mergeCell ref="A91:G91"/>
    <mergeCell ref="A98:G98"/>
    <mergeCell ref="B56:B63"/>
    <mergeCell ref="B99:B110"/>
    <mergeCell ref="A39:A42"/>
    <mergeCell ref="C39:C42"/>
    <mergeCell ref="E16:E17"/>
    <mergeCell ref="D16:D17"/>
    <mergeCell ref="B92:B97"/>
    <mergeCell ref="C53:C54"/>
    <mergeCell ref="A55:G55"/>
    <mergeCell ref="C72:C73"/>
    <mergeCell ref="A70:A71"/>
    <mergeCell ref="C70:C71"/>
    <mergeCell ref="E5:F5"/>
    <mergeCell ref="C168:C173"/>
    <mergeCell ref="A533:A536"/>
    <mergeCell ref="B533:B534"/>
    <mergeCell ref="B535:B536"/>
    <mergeCell ref="D533:D536"/>
    <mergeCell ref="D372:D373"/>
    <mergeCell ref="D374:D375"/>
    <mergeCell ref="D376:D377"/>
    <mergeCell ref="A372:A377"/>
    <mergeCell ref="A382:A385"/>
    <mergeCell ref="C382:C383"/>
    <mergeCell ref="D382:D383"/>
    <mergeCell ref="C384:C385"/>
    <mergeCell ref="D384:D385"/>
    <mergeCell ref="A386:A389"/>
    <mergeCell ref="A494:A503"/>
    <mergeCell ref="B494:B498"/>
    <mergeCell ref="A420:A421"/>
    <mergeCell ref="A432:A433"/>
    <mergeCell ref="A434:A435"/>
    <mergeCell ref="A504:A505"/>
    <mergeCell ref="A8:G8"/>
    <mergeCell ref="A506:A507"/>
    <mergeCell ref="C1:F4"/>
    <mergeCell ref="A88:A89"/>
    <mergeCell ref="D286:D288"/>
    <mergeCell ref="D301:D303"/>
    <mergeCell ref="A53:A54"/>
    <mergeCell ref="A310:A311"/>
    <mergeCell ref="C310:C311"/>
    <mergeCell ref="D310:D311"/>
    <mergeCell ref="A103:A104"/>
    <mergeCell ref="A105:A106"/>
    <mergeCell ref="B154:B160"/>
    <mergeCell ref="C154:C167"/>
    <mergeCell ref="B161:B167"/>
    <mergeCell ref="A139:G139"/>
    <mergeCell ref="A174:G174"/>
    <mergeCell ref="A175:A176"/>
    <mergeCell ref="B250:B251"/>
    <mergeCell ref="D250:D253"/>
    <mergeCell ref="D175:D176"/>
    <mergeCell ref="D179:D180"/>
    <mergeCell ref="B171:B173"/>
    <mergeCell ref="A72:A73"/>
    <mergeCell ref="B25:B30"/>
    <mergeCell ref="C25:C30"/>
    <mergeCell ref="A11:A12"/>
    <mergeCell ref="D356:D357"/>
    <mergeCell ref="A378:A381"/>
    <mergeCell ref="C378:C379"/>
    <mergeCell ref="C380:C381"/>
    <mergeCell ref="B353:B355"/>
    <mergeCell ref="C114:C119"/>
    <mergeCell ref="A111:G111"/>
    <mergeCell ref="A101:A102"/>
    <mergeCell ref="A56:A57"/>
    <mergeCell ref="A168:A173"/>
    <mergeCell ref="B140:B146"/>
    <mergeCell ref="B112:B122"/>
    <mergeCell ref="A112:A113"/>
    <mergeCell ref="A140:A153"/>
    <mergeCell ref="A154:A167"/>
    <mergeCell ref="B168:B170"/>
    <mergeCell ref="E74:E77"/>
    <mergeCell ref="D74:D77"/>
    <mergeCell ref="A279:G279"/>
    <mergeCell ref="E199:E200"/>
    <mergeCell ref="D56:D57"/>
    <mergeCell ref="E56:E57"/>
    <mergeCell ref="D231:D234"/>
    <mergeCell ref="A569:G569"/>
    <mergeCell ref="C362:C363"/>
    <mergeCell ref="C360:C361"/>
    <mergeCell ref="D362:D363"/>
    <mergeCell ref="D360:D361"/>
    <mergeCell ref="B366:B368"/>
    <mergeCell ref="B369:B371"/>
    <mergeCell ref="A366:A371"/>
    <mergeCell ref="D366:D371"/>
    <mergeCell ref="A449:A450"/>
    <mergeCell ref="A451:A452"/>
    <mergeCell ref="A453:A454"/>
    <mergeCell ref="A457:A458"/>
    <mergeCell ref="A461:A462"/>
    <mergeCell ref="A399:A404"/>
    <mergeCell ref="A423:A424"/>
    <mergeCell ref="A405:A410"/>
    <mergeCell ref="B405:B407"/>
    <mergeCell ref="B408:B410"/>
    <mergeCell ref="B402:B404"/>
    <mergeCell ref="B411:B424"/>
    <mergeCell ref="C445:C446"/>
    <mergeCell ref="B499:B503"/>
    <mergeCell ref="A474:A483"/>
    <mergeCell ref="D465:D466"/>
    <mergeCell ref="D469:D470"/>
    <mergeCell ref="D451:D452"/>
    <mergeCell ref="C441:C442"/>
    <mergeCell ref="A437:A438"/>
    <mergeCell ref="B425:B438"/>
    <mergeCell ref="E399:E410"/>
    <mergeCell ref="D399:D401"/>
    <mergeCell ref="D402:D404"/>
    <mergeCell ref="E437:E438"/>
    <mergeCell ref="E418:E419"/>
    <mergeCell ref="A418:A419"/>
    <mergeCell ref="A455:A456"/>
    <mergeCell ref="C455:C456"/>
    <mergeCell ref="D455:D456"/>
    <mergeCell ref="E455:E456"/>
    <mergeCell ref="D453:D454"/>
    <mergeCell ref="D449:D450"/>
    <mergeCell ref="A467:A468"/>
    <mergeCell ref="D467:D468"/>
    <mergeCell ref="A463:A464"/>
    <mergeCell ref="D463:D464"/>
    <mergeCell ref="C443:C444"/>
    <mergeCell ref="E420:E421"/>
    <mergeCell ref="A398:G398"/>
    <mergeCell ref="E449:E450"/>
    <mergeCell ref="E451:E452"/>
    <mergeCell ref="E453:E454"/>
    <mergeCell ref="E457:E458"/>
    <mergeCell ref="D457:D458"/>
    <mergeCell ref="D461:D462"/>
    <mergeCell ref="A508:A509"/>
    <mergeCell ref="C504:C505"/>
    <mergeCell ref="D504:D505"/>
    <mergeCell ref="A439:A448"/>
    <mergeCell ref="C439:C440"/>
    <mergeCell ref="A484:A493"/>
    <mergeCell ref="B484:B488"/>
    <mergeCell ref="B489:B493"/>
    <mergeCell ref="A473:G473"/>
    <mergeCell ref="B474:B478"/>
    <mergeCell ref="B479:B483"/>
    <mergeCell ref="A465:A466"/>
    <mergeCell ref="A469:A470"/>
    <mergeCell ref="C447:C448"/>
    <mergeCell ref="A459:A460"/>
    <mergeCell ref="D459:D460"/>
    <mergeCell ref="E459:E462"/>
    <mergeCell ref="E469:E470"/>
    <mergeCell ref="A511:A520"/>
    <mergeCell ref="A539:G539"/>
    <mergeCell ref="C537:C538"/>
    <mergeCell ref="E537:E538"/>
    <mergeCell ref="A537:A538"/>
    <mergeCell ref="D531:D532"/>
    <mergeCell ref="E531:E532"/>
    <mergeCell ref="A531:A532"/>
    <mergeCell ref="B521:B525"/>
    <mergeCell ref="D521:D525"/>
    <mergeCell ref="B526:B530"/>
    <mergeCell ref="D526:D530"/>
    <mergeCell ref="D515:D516"/>
    <mergeCell ref="D519:D520"/>
    <mergeCell ref="E511:E512"/>
    <mergeCell ref="E513:E514"/>
    <mergeCell ref="E515:E516"/>
    <mergeCell ref="E517:E518"/>
    <mergeCell ref="E519:E520"/>
    <mergeCell ref="C499:C503"/>
    <mergeCell ref="E482:E483"/>
    <mergeCell ref="E487:E488"/>
    <mergeCell ref="E201:E202"/>
    <mergeCell ref="B227:B228"/>
    <mergeCell ref="C205:C208"/>
    <mergeCell ref="D207:D208"/>
    <mergeCell ref="D205:D206"/>
    <mergeCell ref="E210:E213"/>
    <mergeCell ref="A510:G510"/>
    <mergeCell ref="D511:D512"/>
    <mergeCell ref="D513:D514"/>
    <mergeCell ref="B231:B232"/>
    <mergeCell ref="C203:C204"/>
    <mergeCell ref="D203:D204"/>
    <mergeCell ref="D215:D218"/>
    <mergeCell ref="A214:G214"/>
    <mergeCell ref="B215:B216"/>
    <mergeCell ref="B233:B234"/>
    <mergeCell ref="A215:A234"/>
    <mergeCell ref="D223:D226"/>
    <mergeCell ref="B225:B226"/>
    <mergeCell ref="B229:B230"/>
    <mergeCell ref="E205:E206"/>
    <mergeCell ref="E207:E208"/>
    <mergeCell ref="A203:A208"/>
    <mergeCell ref="B217:B218"/>
    <mergeCell ref="B219:B220"/>
    <mergeCell ref="B221:B222"/>
    <mergeCell ref="D219:D222"/>
    <mergeCell ref="D227:D230"/>
    <mergeCell ref="A295:A309"/>
    <mergeCell ref="B295:B309"/>
    <mergeCell ref="B244:B245"/>
    <mergeCell ref="B223:B224"/>
    <mergeCell ref="D258:D261"/>
    <mergeCell ref="B260:B261"/>
    <mergeCell ref="D242:D245"/>
    <mergeCell ref="B252:B253"/>
    <mergeCell ref="E235:E240"/>
    <mergeCell ref="E242:E245"/>
    <mergeCell ref="A246:A265"/>
    <mergeCell ref="B254:B255"/>
    <mergeCell ref="D254:D257"/>
    <mergeCell ref="B256:B257"/>
    <mergeCell ref="B258:B259"/>
    <mergeCell ref="A235:A236"/>
    <mergeCell ref="C235:C236"/>
    <mergeCell ref="D235:D236"/>
    <mergeCell ref="E175:E178"/>
    <mergeCell ref="E120:E121"/>
    <mergeCell ref="E114:E118"/>
    <mergeCell ref="E93:E94"/>
    <mergeCell ref="E179:E180"/>
    <mergeCell ref="E181:E182"/>
    <mergeCell ref="E183:E184"/>
    <mergeCell ref="A350:A355"/>
    <mergeCell ref="B350:B352"/>
    <mergeCell ref="D350:D355"/>
    <mergeCell ref="B347:B349"/>
    <mergeCell ref="A237:A238"/>
    <mergeCell ref="C237:C238"/>
    <mergeCell ref="D237:D238"/>
    <mergeCell ref="D280:D282"/>
    <mergeCell ref="D283:D285"/>
    <mergeCell ref="D289:D291"/>
    <mergeCell ref="D295:D297"/>
    <mergeCell ref="D298:D300"/>
    <mergeCell ref="D304:D306"/>
    <mergeCell ref="A241:G241"/>
    <mergeCell ref="A242:A245"/>
    <mergeCell ref="B242:B243"/>
    <mergeCell ref="D330:D332"/>
    <mergeCell ref="E185:E186"/>
    <mergeCell ref="E187:E188"/>
    <mergeCell ref="E189:E190"/>
    <mergeCell ref="E191:E192"/>
    <mergeCell ref="E193:E194"/>
    <mergeCell ref="E195:E196"/>
    <mergeCell ref="D181:D182"/>
    <mergeCell ref="D183:D184"/>
    <mergeCell ref="D185:D186"/>
    <mergeCell ref="D187:D188"/>
    <mergeCell ref="D189:D190"/>
    <mergeCell ref="D191:D192"/>
    <mergeCell ref="E266:E267"/>
    <mergeCell ref="E268:E276"/>
    <mergeCell ref="C268:C269"/>
    <mergeCell ref="D266:D267"/>
    <mergeCell ref="D268:D269"/>
    <mergeCell ref="D270:D271"/>
    <mergeCell ref="D272:D273"/>
    <mergeCell ref="D274:D275"/>
    <mergeCell ref="C270:C271"/>
    <mergeCell ref="C272:C273"/>
    <mergeCell ref="C274:C275"/>
    <mergeCell ref="E280:E281"/>
    <mergeCell ref="E283:E284"/>
    <mergeCell ref="E286:E287"/>
    <mergeCell ref="E289:E290"/>
    <mergeCell ref="E292:E293"/>
    <mergeCell ref="E295:E296"/>
    <mergeCell ref="E298:E299"/>
    <mergeCell ref="E301:E302"/>
    <mergeCell ref="E304:E305"/>
    <mergeCell ref="E307:E308"/>
    <mergeCell ref="E310:E311"/>
    <mergeCell ref="E312:E313"/>
    <mergeCell ref="E342:E343"/>
    <mergeCell ref="A312:A326"/>
    <mergeCell ref="A327:A341"/>
    <mergeCell ref="B312:B326"/>
    <mergeCell ref="B327:B341"/>
    <mergeCell ref="D339:D341"/>
    <mergeCell ref="D324:D326"/>
    <mergeCell ref="E315:E316"/>
    <mergeCell ref="E318:E319"/>
    <mergeCell ref="E321:E322"/>
    <mergeCell ref="E324:E325"/>
    <mergeCell ref="E327:E328"/>
    <mergeCell ref="E330:E331"/>
    <mergeCell ref="E333:E334"/>
    <mergeCell ref="E336:E337"/>
    <mergeCell ref="E339:E340"/>
    <mergeCell ref="D333:D335"/>
    <mergeCell ref="C342:C343"/>
    <mergeCell ref="A342:A343"/>
    <mergeCell ref="D342:D343"/>
    <mergeCell ref="D318:D320"/>
    <mergeCell ref="E344:E349"/>
    <mergeCell ref="E350:E355"/>
    <mergeCell ref="E356:E357"/>
    <mergeCell ref="E358:E359"/>
    <mergeCell ref="E360:E361"/>
    <mergeCell ref="E362:E363"/>
    <mergeCell ref="E364:E365"/>
    <mergeCell ref="E366:E371"/>
    <mergeCell ref="D336:D338"/>
    <mergeCell ref="E432:E433"/>
    <mergeCell ref="E434:E435"/>
    <mergeCell ref="D439:D448"/>
    <mergeCell ref="E439:E448"/>
    <mergeCell ref="B399:B401"/>
    <mergeCell ref="C474:C478"/>
    <mergeCell ref="C479:C483"/>
    <mergeCell ref="C484:C488"/>
    <mergeCell ref="C469:C470"/>
    <mergeCell ref="E463:E466"/>
    <mergeCell ref="C449:C450"/>
    <mergeCell ref="C451:C452"/>
    <mergeCell ref="C453:C454"/>
    <mergeCell ref="C457:C458"/>
    <mergeCell ref="C459:C460"/>
    <mergeCell ref="C461:C462"/>
    <mergeCell ref="C463:C464"/>
    <mergeCell ref="C465:C466"/>
    <mergeCell ref="C467:C468"/>
    <mergeCell ref="E467:E468"/>
    <mergeCell ref="D405:D407"/>
    <mergeCell ref="D408:D410"/>
    <mergeCell ref="E423:E424"/>
    <mergeCell ref="E477:E478"/>
    <mergeCell ref="E492:E493"/>
    <mergeCell ref="E497:E498"/>
    <mergeCell ref="E502:E503"/>
    <mergeCell ref="E504:E505"/>
    <mergeCell ref="C511:C512"/>
    <mergeCell ref="D506:D507"/>
    <mergeCell ref="E506:E507"/>
    <mergeCell ref="C494:C498"/>
    <mergeCell ref="C506:C507"/>
    <mergeCell ref="C508:C509"/>
    <mergeCell ref="D508:D509"/>
    <mergeCell ref="E508:E509"/>
    <mergeCell ref="C489:C493"/>
    <mergeCell ref="E521:E523"/>
    <mergeCell ref="E526:E528"/>
    <mergeCell ref="E533:E536"/>
    <mergeCell ref="D537:D538"/>
    <mergeCell ref="C513:C514"/>
    <mergeCell ref="C515:C516"/>
    <mergeCell ref="C517:C518"/>
    <mergeCell ref="C519:C520"/>
    <mergeCell ref="D517:D518"/>
  </mergeCells>
  <phoneticPr fontId="32" type="noConversion"/>
  <hyperlinks>
    <hyperlink ref="C1" r:id="rId1"/>
  </hyperlinks>
  <printOptions horizontalCentered="1" verticalCentered="1"/>
  <pageMargins left="0" right="0" top="0" bottom="0" header="0" footer="0"/>
  <pageSetup paperSize="9" scale="28" firstPageNumber="0" fitToHeight="20" orientation="landscape" r:id="rId2"/>
  <headerFooter alignWithMargins="0"/>
  <rowBreaks count="7" manualBreakCount="7">
    <brk id="66" max="6" man="1"/>
    <brk id="138" max="6" man="1"/>
    <brk id="213" max="6" man="1"/>
    <brk id="278" max="6" man="1"/>
    <brk id="397" max="6" man="1"/>
    <brk id="471" max="6" man="1"/>
    <brk id="568" max="6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view="pageBreakPreview" zoomScale="120" zoomScaleSheetLayoutView="120" workbookViewId="0">
      <selection activeCell="D4" sqref="D4"/>
    </sheetView>
  </sheetViews>
  <sheetFormatPr defaultColWidth="9.109375" defaultRowHeight="14.4" x14ac:dyDescent="0.3"/>
  <cols>
    <col min="1" max="1" width="5" style="2" customWidth="1"/>
    <col min="2" max="2" width="26.88671875" style="2" customWidth="1"/>
    <col min="3" max="3" width="41.6640625" style="2" customWidth="1"/>
    <col min="4" max="4" width="12.33203125" style="2" bestFit="1" customWidth="1"/>
    <col min="5" max="5" width="10.88671875" style="2" customWidth="1"/>
    <col min="6" max="6" width="18.44140625" style="2" customWidth="1"/>
    <col min="7" max="7" width="15.5546875" style="2" customWidth="1"/>
    <col min="8" max="16384" width="9.109375" style="2"/>
  </cols>
  <sheetData>
    <row r="1" spans="1:7" ht="64.5" customHeight="1" x14ac:dyDescent="0.3">
      <c r="A1" s="107"/>
      <c r="B1" s="32"/>
      <c r="C1" s="386" t="s">
        <v>142</v>
      </c>
      <c r="D1" s="386" t="s">
        <v>143</v>
      </c>
      <c r="E1" s="388"/>
      <c r="F1" s="389" t="s">
        <v>8</v>
      </c>
      <c r="G1" s="389" t="s">
        <v>73</v>
      </c>
    </row>
    <row r="2" spans="1:7" ht="28.8" x14ac:dyDescent="0.3">
      <c r="A2" s="108"/>
      <c r="B2" s="32"/>
      <c r="C2" s="387"/>
      <c r="D2" s="27" t="s">
        <v>144</v>
      </c>
      <c r="E2" s="27" t="s">
        <v>145</v>
      </c>
      <c r="F2" s="389"/>
      <c r="G2" s="389"/>
    </row>
    <row r="3" spans="1:7" x14ac:dyDescent="0.3">
      <c r="A3" s="108"/>
      <c r="B3" s="32"/>
      <c r="C3" s="28" t="s">
        <v>0</v>
      </c>
      <c r="D3" s="28" t="s">
        <v>146</v>
      </c>
      <c r="E3" s="28" t="s">
        <v>147</v>
      </c>
      <c r="F3" s="29">
        <v>0</v>
      </c>
      <c r="G3" s="29">
        <v>0</v>
      </c>
    </row>
    <row r="4" spans="1:7" ht="117" customHeight="1" x14ac:dyDescent="0.3">
      <c r="A4" s="118">
        <v>1</v>
      </c>
      <c r="B4" s="119" t="s">
        <v>148</v>
      </c>
      <c r="C4" s="120"/>
      <c r="D4" s="30">
        <v>52</v>
      </c>
      <c r="E4" s="31">
        <v>9.23</v>
      </c>
      <c r="F4" s="30">
        <f>50*(1+F3)</f>
        <v>50</v>
      </c>
      <c r="G4" s="30">
        <f>55*(1+G3)</f>
        <v>55</v>
      </c>
    </row>
    <row r="5" spans="1:7" ht="138.75" customHeight="1" x14ac:dyDescent="0.3">
      <c r="A5" s="118">
        <v>2</v>
      </c>
      <c r="B5" s="119" t="s">
        <v>149</v>
      </c>
      <c r="C5" s="120"/>
      <c r="D5" s="30">
        <v>30</v>
      </c>
      <c r="E5" s="31">
        <v>5.82</v>
      </c>
      <c r="F5" s="30">
        <f>50*(1+F3)</f>
        <v>50</v>
      </c>
      <c r="G5" s="30">
        <f>55*(1+G3)</f>
        <v>55</v>
      </c>
    </row>
    <row r="6" spans="1:7" ht="126" customHeight="1" x14ac:dyDescent="0.3">
      <c r="A6" s="118">
        <v>3</v>
      </c>
      <c r="B6" s="119" t="s">
        <v>150</v>
      </c>
      <c r="C6" s="120"/>
      <c r="D6" s="30">
        <v>30</v>
      </c>
      <c r="E6" s="31">
        <v>6.6</v>
      </c>
      <c r="F6" s="30">
        <f>56*(1+F3)</f>
        <v>56</v>
      </c>
      <c r="G6" s="30">
        <f>63*(1+G3)</f>
        <v>63</v>
      </c>
    </row>
    <row r="7" spans="1:7" ht="129" customHeight="1" x14ac:dyDescent="0.3">
      <c r="A7" s="118">
        <v>4</v>
      </c>
      <c r="B7" s="119" t="s">
        <v>151</v>
      </c>
      <c r="C7" s="120"/>
      <c r="D7" s="30">
        <v>24</v>
      </c>
      <c r="E7" s="31">
        <v>5.95</v>
      </c>
      <c r="F7" s="30">
        <f>60*(1+F3)</f>
        <v>60</v>
      </c>
      <c r="G7" s="30">
        <f>68*(1+G3)</f>
        <v>68</v>
      </c>
    </row>
    <row r="8" spans="1:7" ht="136.5" customHeight="1" x14ac:dyDescent="0.3">
      <c r="A8" s="118">
        <v>5</v>
      </c>
      <c r="B8" s="119" t="s">
        <v>152</v>
      </c>
      <c r="C8" s="120"/>
      <c r="D8" s="30">
        <v>104</v>
      </c>
      <c r="E8" s="31">
        <v>24.15</v>
      </c>
      <c r="F8" s="30">
        <f>70*(1+F3)</f>
        <v>70</v>
      </c>
      <c r="G8" s="30">
        <f>77*(1+G3)</f>
        <v>77</v>
      </c>
    </row>
    <row r="9" spans="1:7" ht="136.5" customHeight="1" x14ac:dyDescent="0.3">
      <c r="A9" s="118">
        <v>6</v>
      </c>
      <c r="B9" s="119" t="s">
        <v>338</v>
      </c>
      <c r="C9" s="120"/>
      <c r="D9" s="30"/>
      <c r="E9" s="31"/>
      <c r="F9" s="30">
        <f>50*(1+F3)</f>
        <v>50</v>
      </c>
      <c r="G9" s="30">
        <f>55*(1+G3)</f>
        <v>55</v>
      </c>
    </row>
    <row r="10" spans="1:7" x14ac:dyDescent="0.3">
      <c r="A10" s="121" t="s">
        <v>72</v>
      </c>
      <c r="B10" s="32"/>
      <c r="C10" s="32"/>
      <c r="D10" s="32"/>
      <c r="E10" s="32"/>
      <c r="F10" s="32"/>
      <c r="G10" s="32"/>
    </row>
    <row r="11" spans="1:7" ht="15" customHeight="1" x14ac:dyDescent="0.3">
      <c r="A11" s="33"/>
      <c r="B11" s="33" t="s">
        <v>73</v>
      </c>
      <c r="C11" s="33" t="s">
        <v>73</v>
      </c>
      <c r="D11" s="33"/>
      <c r="E11" s="33"/>
      <c r="F11" s="33"/>
      <c r="G11" s="33"/>
    </row>
    <row r="12" spans="1:7" x14ac:dyDescent="0.3">
      <c r="A12" s="122"/>
      <c r="B12" s="34">
        <v>3005</v>
      </c>
      <c r="C12" s="34">
        <v>7004</v>
      </c>
      <c r="D12" s="34"/>
      <c r="E12" s="34"/>
      <c r="F12" s="34"/>
      <c r="G12" s="34"/>
    </row>
    <row r="13" spans="1:7" x14ac:dyDescent="0.3">
      <c r="A13" s="34"/>
      <c r="B13" s="34">
        <v>3009</v>
      </c>
      <c r="C13" s="34">
        <v>7024</v>
      </c>
      <c r="D13" s="34"/>
      <c r="E13" s="34"/>
      <c r="F13" s="34"/>
      <c r="G13" s="34"/>
    </row>
    <row r="14" spans="1:7" x14ac:dyDescent="0.3">
      <c r="A14" s="34"/>
      <c r="B14" s="34">
        <v>3011</v>
      </c>
      <c r="C14" s="34">
        <v>8004</v>
      </c>
      <c r="D14" s="34"/>
      <c r="E14" s="34"/>
      <c r="F14" s="34"/>
      <c r="G14" s="34"/>
    </row>
    <row r="15" spans="1:7" x14ac:dyDescent="0.3">
      <c r="A15" s="34"/>
      <c r="B15" s="34">
        <v>5005</v>
      </c>
      <c r="C15" s="34">
        <v>8017</v>
      </c>
      <c r="D15" s="34"/>
      <c r="E15" s="34"/>
      <c r="F15" s="34"/>
      <c r="G15" s="34"/>
    </row>
    <row r="16" spans="1:7" x14ac:dyDescent="0.3">
      <c r="A16" s="34"/>
      <c r="B16" s="34">
        <v>6002</v>
      </c>
      <c r="C16" s="34">
        <v>8019</v>
      </c>
      <c r="D16" s="34"/>
      <c r="E16" s="34"/>
      <c r="F16" s="34"/>
      <c r="G16" s="34"/>
    </row>
    <row r="17" spans="1:7" x14ac:dyDescent="0.3">
      <c r="A17" s="34"/>
      <c r="B17" s="34">
        <v>6005</v>
      </c>
      <c r="C17" s="34">
        <v>9005</v>
      </c>
      <c r="D17" s="34"/>
      <c r="E17" s="34"/>
      <c r="F17" s="34"/>
      <c r="G17" s="34"/>
    </row>
    <row r="18" spans="1:7" x14ac:dyDescent="0.3">
      <c r="A18" s="34"/>
      <c r="B18" s="34">
        <v>6020</v>
      </c>
      <c r="C18" s="34">
        <v>9010</v>
      </c>
      <c r="D18" s="34"/>
      <c r="E18" s="34"/>
      <c r="F18" s="34"/>
      <c r="G18" s="34"/>
    </row>
  </sheetData>
  <sheetProtection algorithmName="SHA-512" hashValue="XI6bLugb/sRm6ZXOamX8qBoIl5SL2XfRBC9apaOe1NbnBfCGDK0h/zxYhLduZPW0rcHzJN/ICP+7tGIMuPUE/Q==" saltValue="jC2AJ06dwkj+9Yt2LdpAmw==" spinCount="100000" sheet="1" formatCells="0" formatColumns="0" formatRows="0" insertColumns="0" insertRows="0" insertHyperlinks="0" deleteColumns="0" deleteRows="0"/>
  <mergeCells count="4">
    <mergeCell ref="C1:C2"/>
    <mergeCell ref="D1:E1"/>
    <mergeCell ref="F1:F2"/>
    <mergeCell ref="G1:G2"/>
  </mergeCells>
  <pageMargins left="0.70866141732283472" right="0.70866141732283472" top="0.74803149606299213" bottom="0.74803149606299213" header="0.31496062992125984" footer="0.31496062992125984"/>
  <pageSetup paperSize="9" scale="66"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view="pageBreakPreview" zoomScale="120" zoomScaleSheetLayoutView="120" workbookViewId="0">
      <selection activeCell="A12" sqref="A12:A14"/>
    </sheetView>
  </sheetViews>
  <sheetFormatPr defaultColWidth="9.109375" defaultRowHeight="14.4" x14ac:dyDescent="0.3"/>
  <cols>
    <col min="1" max="1" width="70.109375" style="2" customWidth="1"/>
    <col min="2" max="2" width="8.88671875" style="2" bestFit="1" customWidth="1"/>
    <col min="3" max="3" width="7.6640625" style="2" bestFit="1" customWidth="1"/>
    <col min="4" max="4" width="23.109375" style="2" bestFit="1" customWidth="1"/>
    <col min="5" max="5" width="41.6640625" style="2" bestFit="1" customWidth="1"/>
    <col min="6" max="6" width="12.109375" style="2" customWidth="1"/>
    <col min="7" max="16384" width="9.109375" style="2"/>
  </cols>
  <sheetData>
    <row r="1" spans="1:6" x14ac:dyDescent="0.3">
      <c r="A1" s="3"/>
      <c r="B1" s="3"/>
      <c r="C1" s="416" t="s">
        <v>297</v>
      </c>
      <c r="D1" s="417"/>
      <c r="E1" s="417"/>
      <c r="F1" s="418"/>
    </row>
    <row r="2" spans="1:6" x14ac:dyDescent="0.3">
      <c r="A2" s="3"/>
      <c r="B2" s="3"/>
      <c r="C2" s="419"/>
      <c r="D2" s="420"/>
      <c r="E2" s="420"/>
      <c r="F2" s="421"/>
    </row>
    <row r="3" spans="1:6" x14ac:dyDescent="0.3">
      <c r="A3" s="3"/>
      <c r="B3" s="3"/>
      <c r="C3" s="419"/>
      <c r="D3" s="420"/>
      <c r="E3" s="420"/>
      <c r="F3" s="421"/>
    </row>
    <row r="4" spans="1:6" ht="15" thickBot="1" x14ac:dyDescent="0.35">
      <c r="A4" s="3"/>
      <c r="B4" s="3"/>
      <c r="C4" s="422"/>
      <c r="D4" s="423"/>
      <c r="E4" s="423"/>
      <c r="F4" s="424"/>
    </row>
    <row r="5" spans="1:6" ht="15" thickBot="1" x14ac:dyDescent="0.35">
      <c r="A5" s="4"/>
      <c r="B5" s="3"/>
      <c r="C5" s="3"/>
      <c r="D5" s="5" t="s">
        <v>0</v>
      </c>
      <c r="E5" s="427">
        <v>0</v>
      </c>
      <c r="F5" s="428"/>
    </row>
    <row r="6" spans="1:6" ht="23.25" customHeight="1" x14ac:dyDescent="0.3">
      <c r="A6" s="8"/>
      <c r="B6" s="10"/>
      <c r="C6" s="10"/>
      <c r="D6" s="9"/>
      <c r="E6" s="43"/>
      <c r="F6" s="43"/>
    </row>
    <row r="7" spans="1:6" ht="27.6" x14ac:dyDescent="0.3">
      <c r="A7" s="102" t="s">
        <v>22</v>
      </c>
      <c r="B7" s="102" t="s">
        <v>23</v>
      </c>
      <c r="C7" s="102" t="s">
        <v>24</v>
      </c>
      <c r="D7" s="102" t="s">
        <v>25</v>
      </c>
      <c r="E7" s="38" t="s">
        <v>26</v>
      </c>
      <c r="F7" s="38" t="s">
        <v>124</v>
      </c>
    </row>
    <row r="8" spans="1:6" ht="17.399999999999999" x14ac:dyDescent="0.3">
      <c r="A8" s="398" t="s">
        <v>272</v>
      </c>
      <c r="B8" s="399"/>
      <c r="C8" s="399"/>
      <c r="D8" s="399"/>
      <c r="E8" s="399"/>
      <c r="F8" s="399"/>
    </row>
    <row r="9" spans="1:6" x14ac:dyDescent="0.3">
      <c r="A9" s="390" t="s">
        <v>466</v>
      </c>
      <c r="B9" s="393" t="s">
        <v>1</v>
      </c>
      <c r="C9" s="429" t="s">
        <v>271</v>
      </c>
      <c r="D9" s="103" t="s">
        <v>270</v>
      </c>
      <c r="E9" s="393" t="s">
        <v>3</v>
      </c>
      <c r="F9" s="39">
        <f>750*(1+E5)</f>
        <v>750</v>
      </c>
    </row>
    <row r="10" spans="1:6" x14ac:dyDescent="0.3">
      <c r="A10" s="391"/>
      <c r="B10" s="425"/>
      <c r="C10" s="429"/>
      <c r="D10" s="103" t="s">
        <v>467</v>
      </c>
      <c r="E10" s="394"/>
      <c r="F10" s="39">
        <f>700*(1+E5)</f>
        <v>700</v>
      </c>
    </row>
    <row r="11" spans="1:6" x14ac:dyDescent="0.3">
      <c r="A11" s="392"/>
      <c r="B11" s="425"/>
      <c r="C11" s="429"/>
      <c r="D11" s="103" t="s">
        <v>4</v>
      </c>
      <c r="E11" s="395"/>
      <c r="F11" s="39">
        <f>900*(1+E5)</f>
        <v>900</v>
      </c>
    </row>
    <row r="12" spans="1:6" x14ac:dyDescent="0.3">
      <c r="A12" s="390" t="s">
        <v>276</v>
      </c>
      <c r="B12" s="425"/>
      <c r="C12" s="429" t="s">
        <v>2</v>
      </c>
      <c r="D12" s="103" t="s">
        <v>270</v>
      </c>
      <c r="E12" s="393" t="s">
        <v>3</v>
      </c>
      <c r="F12" s="39">
        <f>1350*(1+E5)</f>
        <v>1350</v>
      </c>
    </row>
    <row r="13" spans="1:6" x14ac:dyDescent="0.3">
      <c r="A13" s="391"/>
      <c r="B13" s="425"/>
      <c r="C13" s="429"/>
      <c r="D13" s="103" t="s">
        <v>467</v>
      </c>
      <c r="E13" s="394"/>
      <c r="F13" s="39">
        <f>1300*(1+E5)</f>
        <v>1300</v>
      </c>
    </row>
    <row r="14" spans="1:6" x14ac:dyDescent="0.3">
      <c r="A14" s="392"/>
      <c r="B14" s="426"/>
      <c r="C14" s="397"/>
      <c r="D14" s="103" t="s">
        <v>4</v>
      </c>
      <c r="E14" s="395"/>
      <c r="F14" s="39">
        <f>1700*(1+E5)</f>
        <v>1700</v>
      </c>
    </row>
    <row r="15" spans="1:6" x14ac:dyDescent="0.3">
      <c r="A15" s="438" t="s">
        <v>465</v>
      </c>
      <c r="B15" s="394"/>
      <c r="C15" s="429" t="s">
        <v>2</v>
      </c>
      <c r="D15" s="103" t="s">
        <v>270</v>
      </c>
      <c r="E15" s="393" t="s">
        <v>3</v>
      </c>
      <c r="F15" s="39">
        <f>1450*(1+E5)</f>
        <v>1450</v>
      </c>
    </row>
    <row r="16" spans="1:6" x14ac:dyDescent="0.3">
      <c r="A16" s="438"/>
      <c r="B16" s="394"/>
      <c r="C16" s="429"/>
      <c r="D16" s="103" t="s">
        <v>467</v>
      </c>
      <c r="E16" s="394"/>
      <c r="F16" s="39">
        <f>1400*(1+E5)</f>
        <v>1400</v>
      </c>
    </row>
    <row r="17" spans="1:6" x14ac:dyDescent="0.3">
      <c r="A17" s="438"/>
      <c r="B17" s="395"/>
      <c r="C17" s="429"/>
      <c r="D17" s="103" t="s">
        <v>4</v>
      </c>
      <c r="E17" s="395"/>
      <c r="F17" s="39">
        <f>1750*(1+E5)</f>
        <v>1750</v>
      </c>
    </row>
    <row r="18" spans="1:6" x14ac:dyDescent="0.3">
      <c r="A18" s="413" t="s">
        <v>274</v>
      </c>
      <c r="B18" s="414"/>
      <c r="C18" s="414"/>
      <c r="D18" s="414"/>
      <c r="E18" s="414"/>
      <c r="F18" s="414"/>
    </row>
    <row r="19" spans="1:6" x14ac:dyDescent="0.3">
      <c r="A19" s="402" t="s">
        <v>278</v>
      </c>
      <c r="B19" s="396" t="s">
        <v>1</v>
      </c>
      <c r="C19" s="106" t="s">
        <v>2</v>
      </c>
      <c r="D19" s="408"/>
      <c r="E19" s="410" t="s">
        <v>27</v>
      </c>
      <c r="F19" s="106">
        <f>900*(1+E5)</f>
        <v>900</v>
      </c>
    </row>
    <row r="20" spans="1:6" x14ac:dyDescent="0.3">
      <c r="A20" s="403"/>
      <c r="B20" s="396"/>
      <c r="C20" s="106" t="s">
        <v>271</v>
      </c>
      <c r="D20" s="409"/>
      <c r="E20" s="395"/>
      <c r="F20" s="106">
        <f>450*(1+E5)</f>
        <v>450</v>
      </c>
    </row>
    <row r="21" spans="1:6" x14ac:dyDescent="0.3">
      <c r="A21" s="402" t="s">
        <v>279</v>
      </c>
      <c r="B21" s="397"/>
      <c r="C21" s="106"/>
      <c r="D21" s="103" t="s">
        <v>270</v>
      </c>
      <c r="E21" s="410" t="s">
        <v>28</v>
      </c>
      <c r="F21" s="106">
        <f>850*(1+E5)</f>
        <v>850</v>
      </c>
    </row>
    <row r="22" spans="1:6" x14ac:dyDescent="0.3">
      <c r="A22" s="404"/>
      <c r="B22" s="397"/>
      <c r="C22" s="106"/>
      <c r="D22" s="103" t="s">
        <v>467</v>
      </c>
      <c r="E22" s="395"/>
      <c r="F22" s="106">
        <f>800*(1+E5)</f>
        <v>800</v>
      </c>
    </row>
    <row r="23" spans="1:6" x14ac:dyDescent="0.3">
      <c r="A23" s="405"/>
      <c r="B23" s="397"/>
      <c r="C23" s="106"/>
      <c r="D23" s="103" t="s">
        <v>4</v>
      </c>
      <c r="E23" s="104" t="s">
        <v>294</v>
      </c>
      <c r="F23" s="106">
        <f>1350*(1+E5)</f>
        <v>1350</v>
      </c>
    </row>
    <row r="24" spans="1:6" x14ac:dyDescent="0.3">
      <c r="A24" s="406" t="s">
        <v>280</v>
      </c>
      <c r="B24" s="397"/>
      <c r="C24" s="106"/>
      <c r="D24" s="103" t="s">
        <v>270</v>
      </c>
      <c r="E24" s="410" t="s">
        <v>29</v>
      </c>
      <c r="F24" s="106">
        <f>750*(1+E5)</f>
        <v>750</v>
      </c>
    </row>
    <row r="25" spans="1:6" x14ac:dyDescent="0.3">
      <c r="A25" s="407"/>
      <c r="B25" s="397"/>
      <c r="C25" s="106"/>
      <c r="D25" s="103" t="s">
        <v>467</v>
      </c>
      <c r="E25" s="395"/>
      <c r="F25" s="106">
        <f>700*(1+E5)</f>
        <v>700</v>
      </c>
    </row>
    <row r="26" spans="1:6" x14ac:dyDescent="0.3">
      <c r="A26" s="392"/>
      <c r="B26" s="397"/>
      <c r="C26" s="106"/>
      <c r="D26" s="103" t="s">
        <v>4</v>
      </c>
      <c r="E26" s="104" t="s">
        <v>292</v>
      </c>
      <c r="F26" s="106">
        <f>1100*(1+E5)</f>
        <v>1100</v>
      </c>
    </row>
    <row r="27" spans="1:6" x14ac:dyDescent="0.3">
      <c r="A27" s="406" t="s">
        <v>281</v>
      </c>
      <c r="B27" s="397"/>
      <c r="C27" s="106"/>
      <c r="D27" s="103" t="s">
        <v>270</v>
      </c>
      <c r="E27" s="410" t="s">
        <v>269</v>
      </c>
      <c r="F27" s="106">
        <f>500*(1+E5)</f>
        <v>500</v>
      </c>
    </row>
    <row r="28" spans="1:6" x14ac:dyDescent="0.3">
      <c r="A28" s="407"/>
      <c r="B28" s="397"/>
      <c r="C28" s="106"/>
      <c r="D28" s="103" t="s">
        <v>467</v>
      </c>
      <c r="E28" s="395"/>
      <c r="F28" s="106">
        <f>450*(1+E5)</f>
        <v>450</v>
      </c>
    </row>
    <row r="29" spans="1:6" x14ac:dyDescent="0.3">
      <c r="A29" s="392"/>
      <c r="B29" s="397"/>
      <c r="C29" s="106"/>
      <c r="D29" s="103" t="s">
        <v>4</v>
      </c>
      <c r="E29" s="104" t="s">
        <v>295</v>
      </c>
      <c r="F29" s="106">
        <f>700*(1+E5)</f>
        <v>700</v>
      </c>
    </row>
    <row r="30" spans="1:6" x14ac:dyDescent="0.3">
      <c r="A30" s="42" t="s">
        <v>282</v>
      </c>
      <c r="B30" s="397"/>
      <c r="C30" s="106"/>
      <c r="D30" s="411" t="s">
        <v>4</v>
      </c>
      <c r="E30" s="41" t="s">
        <v>28</v>
      </c>
      <c r="F30" s="106">
        <f>650*(1+E5)</f>
        <v>650</v>
      </c>
    </row>
    <row r="31" spans="1:6" x14ac:dyDescent="0.3">
      <c r="A31" s="42" t="s">
        <v>283</v>
      </c>
      <c r="B31" s="397"/>
      <c r="C31" s="106"/>
      <c r="D31" s="412"/>
      <c r="E31" s="41" t="s">
        <v>29</v>
      </c>
      <c r="F31" s="106">
        <f>500*(1+E5)</f>
        <v>500</v>
      </c>
    </row>
    <row r="32" spans="1:6" x14ac:dyDescent="0.3">
      <c r="A32" s="42" t="s">
        <v>284</v>
      </c>
      <c r="B32" s="397"/>
      <c r="C32" s="106"/>
      <c r="D32" s="409"/>
      <c r="E32" s="41" t="s">
        <v>269</v>
      </c>
      <c r="F32" s="106">
        <f>350*(1+E5)</f>
        <v>350</v>
      </c>
    </row>
    <row r="33" spans="1:6" ht="17.399999999999999" x14ac:dyDescent="0.3">
      <c r="A33" s="398" t="s">
        <v>273</v>
      </c>
      <c r="B33" s="399"/>
      <c r="C33" s="399"/>
      <c r="D33" s="399"/>
      <c r="E33" s="399"/>
      <c r="F33" s="399"/>
    </row>
    <row r="34" spans="1:6" x14ac:dyDescent="0.3">
      <c r="A34" s="401" t="s">
        <v>501</v>
      </c>
      <c r="B34" s="400" t="s">
        <v>1</v>
      </c>
      <c r="C34" s="435" t="s">
        <v>2</v>
      </c>
      <c r="D34" s="102" t="s">
        <v>5</v>
      </c>
      <c r="E34" s="102" t="s">
        <v>3</v>
      </c>
      <c r="F34" s="39">
        <f>2450*(1+E5)</f>
        <v>2450</v>
      </c>
    </row>
    <row r="35" spans="1:6" x14ac:dyDescent="0.3">
      <c r="A35" s="401"/>
      <c r="B35" s="400"/>
      <c r="C35" s="436"/>
      <c r="D35" s="102" t="s">
        <v>4</v>
      </c>
      <c r="E35" s="102" t="s">
        <v>3</v>
      </c>
      <c r="F35" s="39">
        <f>2750*(1+E5)</f>
        <v>2750</v>
      </c>
    </row>
    <row r="36" spans="1:6" x14ac:dyDescent="0.3">
      <c r="A36" s="401" t="s">
        <v>502</v>
      </c>
      <c r="B36" s="397"/>
      <c r="C36" s="394"/>
      <c r="D36" s="102" t="s">
        <v>5</v>
      </c>
      <c r="E36" s="102" t="s">
        <v>3</v>
      </c>
      <c r="F36" s="39">
        <f>2700*(1+E5)</f>
        <v>2700</v>
      </c>
    </row>
    <row r="37" spans="1:6" x14ac:dyDescent="0.3">
      <c r="A37" s="401"/>
      <c r="B37" s="397"/>
      <c r="C37" s="394"/>
      <c r="D37" s="102" t="s">
        <v>4</v>
      </c>
      <c r="E37" s="102" t="s">
        <v>3</v>
      </c>
      <c r="F37" s="39">
        <f>2950*(1+E5)</f>
        <v>2950</v>
      </c>
    </row>
    <row r="38" spans="1:6" x14ac:dyDescent="0.3">
      <c r="A38" s="401" t="s">
        <v>503</v>
      </c>
      <c r="B38" s="397"/>
      <c r="C38" s="394"/>
      <c r="D38" s="102" t="s">
        <v>5</v>
      </c>
      <c r="E38" s="102" t="s">
        <v>3</v>
      </c>
      <c r="F38" s="39">
        <f>2800*(1+E5)</f>
        <v>2800</v>
      </c>
    </row>
    <row r="39" spans="1:6" x14ac:dyDescent="0.3">
      <c r="A39" s="401"/>
      <c r="B39" s="397"/>
      <c r="C39" s="394"/>
      <c r="D39" s="102" t="s">
        <v>4</v>
      </c>
      <c r="E39" s="102" t="s">
        <v>3</v>
      </c>
      <c r="F39" s="39">
        <f>3050*(1+E5)</f>
        <v>3050</v>
      </c>
    </row>
    <row r="40" spans="1:6" x14ac:dyDescent="0.3">
      <c r="A40" s="401" t="s">
        <v>504</v>
      </c>
      <c r="B40" s="397"/>
      <c r="C40" s="394"/>
      <c r="D40" s="102" t="s">
        <v>270</v>
      </c>
      <c r="E40" s="102" t="s">
        <v>3</v>
      </c>
      <c r="F40" s="39">
        <f>3250*(1+E5)</f>
        <v>3250</v>
      </c>
    </row>
    <row r="41" spans="1:6" x14ac:dyDescent="0.3">
      <c r="A41" s="401"/>
      <c r="B41" s="397"/>
      <c r="C41" s="394"/>
      <c r="D41" s="102" t="s">
        <v>4</v>
      </c>
      <c r="E41" s="102" t="s">
        <v>3</v>
      </c>
      <c r="F41" s="39">
        <f>3550*(1+E5)</f>
        <v>3550</v>
      </c>
    </row>
    <row r="42" spans="1:6" x14ac:dyDescent="0.3">
      <c r="A42" s="401" t="s">
        <v>505</v>
      </c>
      <c r="B42" s="397"/>
      <c r="C42" s="394"/>
      <c r="D42" s="102" t="s">
        <v>270</v>
      </c>
      <c r="E42" s="102" t="s">
        <v>3</v>
      </c>
      <c r="F42" s="39">
        <f>3450*(1+E5)</f>
        <v>3450</v>
      </c>
    </row>
    <row r="43" spans="1:6" x14ac:dyDescent="0.3">
      <c r="A43" s="401"/>
      <c r="B43" s="397"/>
      <c r="C43" s="394"/>
      <c r="D43" s="102" t="s">
        <v>4</v>
      </c>
      <c r="E43" s="102" t="s">
        <v>3</v>
      </c>
      <c r="F43" s="39">
        <f>3750*(1+E5)</f>
        <v>3750</v>
      </c>
    </row>
    <row r="44" spans="1:6" x14ac:dyDescent="0.3">
      <c r="A44" s="430" t="s">
        <v>506</v>
      </c>
      <c r="B44" s="397"/>
      <c r="C44" s="394"/>
      <c r="D44" s="102" t="s">
        <v>270</v>
      </c>
      <c r="E44" s="102" t="s">
        <v>3</v>
      </c>
      <c r="F44" s="39">
        <f>3650*(1+E5)</f>
        <v>3650</v>
      </c>
    </row>
    <row r="45" spans="1:6" x14ac:dyDescent="0.3">
      <c r="A45" s="431"/>
      <c r="B45" s="397"/>
      <c r="C45" s="395"/>
      <c r="D45" s="102" t="s">
        <v>4</v>
      </c>
      <c r="E45" s="102" t="s">
        <v>3</v>
      </c>
      <c r="F45" s="39">
        <f>3950*(1+E5)</f>
        <v>3950</v>
      </c>
    </row>
    <row r="46" spans="1:6" x14ac:dyDescent="0.3">
      <c r="A46" s="413" t="s">
        <v>275</v>
      </c>
      <c r="B46" s="414"/>
      <c r="C46" s="414"/>
      <c r="D46" s="414"/>
      <c r="E46" s="414"/>
      <c r="F46" s="414"/>
    </row>
    <row r="47" spans="1:6" x14ac:dyDescent="0.3">
      <c r="A47" s="42" t="s">
        <v>278</v>
      </c>
      <c r="B47" s="400" t="s">
        <v>1</v>
      </c>
      <c r="C47" s="106" t="s">
        <v>2</v>
      </c>
      <c r="D47" s="106"/>
      <c r="E47" s="41" t="s">
        <v>27</v>
      </c>
      <c r="F47" s="106">
        <f>900*(1+E5)</f>
        <v>900</v>
      </c>
    </row>
    <row r="48" spans="1:6" x14ac:dyDescent="0.3">
      <c r="A48" s="432" t="s">
        <v>291</v>
      </c>
      <c r="B48" s="400"/>
      <c r="C48" s="106"/>
      <c r="D48" s="106" t="s">
        <v>5</v>
      </c>
      <c r="E48" s="410" t="s">
        <v>29</v>
      </c>
      <c r="F48" s="106">
        <f>650*(1+E5)</f>
        <v>650</v>
      </c>
    </row>
    <row r="49" spans="1:6" x14ac:dyDescent="0.3">
      <c r="A49" s="433"/>
      <c r="B49" s="397"/>
      <c r="C49" s="106"/>
      <c r="D49" s="103" t="s">
        <v>270</v>
      </c>
      <c r="E49" s="437"/>
      <c r="F49" s="106">
        <f>750*(1+E5)</f>
        <v>750</v>
      </c>
    </row>
    <row r="50" spans="1:6" x14ac:dyDescent="0.3">
      <c r="A50" s="434"/>
      <c r="B50" s="397"/>
      <c r="C50" s="106"/>
      <c r="D50" s="103" t="s">
        <v>4</v>
      </c>
      <c r="E50" s="41" t="s">
        <v>292</v>
      </c>
      <c r="F50" s="106">
        <f>1150*(1+E5)</f>
        <v>1150</v>
      </c>
    </row>
    <row r="51" spans="1:6" x14ac:dyDescent="0.3">
      <c r="A51" s="40" t="s">
        <v>287</v>
      </c>
      <c r="B51" s="397"/>
      <c r="C51" s="106"/>
      <c r="D51" s="408"/>
      <c r="E51" s="415" t="s">
        <v>29</v>
      </c>
      <c r="F51" s="106">
        <f>2000*(1+E5)</f>
        <v>2000</v>
      </c>
    </row>
    <row r="52" spans="1:6" x14ac:dyDescent="0.3">
      <c r="A52" s="40" t="s">
        <v>288</v>
      </c>
      <c r="B52" s="397"/>
      <c r="C52" s="106"/>
      <c r="D52" s="412"/>
      <c r="E52" s="412"/>
      <c r="F52" s="106">
        <f>2150*(1+E5)</f>
        <v>2150</v>
      </c>
    </row>
    <row r="53" spans="1:6" x14ac:dyDescent="0.3">
      <c r="A53" s="40" t="s">
        <v>289</v>
      </c>
      <c r="B53" s="397"/>
      <c r="C53" s="106"/>
      <c r="D53" s="409"/>
      <c r="E53" s="409"/>
      <c r="F53" s="106">
        <f>2300*(1+E5)</f>
        <v>2300</v>
      </c>
    </row>
    <row r="54" spans="1:6" x14ac:dyDescent="0.3">
      <c r="A54" s="40" t="s">
        <v>290</v>
      </c>
      <c r="B54" s="397"/>
      <c r="C54" s="106"/>
      <c r="D54" s="106"/>
      <c r="E54" s="41" t="s">
        <v>49</v>
      </c>
      <c r="F54" s="106">
        <f>1200*(1+E5)</f>
        <v>1200</v>
      </c>
    </row>
    <row r="55" spans="1:6" ht="29.25" customHeight="1" x14ac:dyDescent="0.3">
      <c r="A55" s="42" t="s">
        <v>296</v>
      </c>
      <c r="B55" s="397"/>
      <c r="C55" s="106"/>
      <c r="D55" s="106"/>
      <c r="E55" s="41" t="s">
        <v>7</v>
      </c>
      <c r="F55" s="106">
        <f>170*(1+E5)</f>
        <v>170</v>
      </c>
    </row>
    <row r="56" spans="1:6" ht="17.399999999999999" x14ac:dyDescent="0.3">
      <c r="A56" s="398" t="s">
        <v>277</v>
      </c>
      <c r="B56" s="399"/>
      <c r="C56" s="399"/>
      <c r="D56" s="399"/>
      <c r="E56" s="399"/>
      <c r="F56" s="399"/>
    </row>
    <row r="57" spans="1:6" x14ac:dyDescent="0.3">
      <c r="A57" s="105" t="s">
        <v>285</v>
      </c>
      <c r="B57" s="400" t="s">
        <v>1</v>
      </c>
      <c r="C57" s="400"/>
      <c r="D57" s="400" t="s">
        <v>5</v>
      </c>
      <c r="E57" s="102" t="s">
        <v>7</v>
      </c>
      <c r="F57" s="39">
        <f>700*(1+E5)</f>
        <v>700</v>
      </c>
    </row>
    <row r="58" spans="1:6" x14ac:dyDescent="0.3">
      <c r="A58" s="105" t="s">
        <v>286</v>
      </c>
      <c r="B58" s="397"/>
      <c r="C58" s="397"/>
      <c r="D58" s="397"/>
      <c r="E58" s="102" t="s">
        <v>7</v>
      </c>
      <c r="F58" s="39">
        <f>800*(1+E5)</f>
        <v>800</v>
      </c>
    </row>
  </sheetData>
  <sheetProtection algorithmName="SHA-512" hashValue="/uWcQqN62BfHfgtVTgPnS00SNJCicp89lAuaUlqZZy2jMbfeosnguPWIAZ4mH5PPEcPfRToNqbvcBOITu1Kcxw==" saltValue="+pg/8PJnpAyYBh7ILbEACw==" spinCount="100000" sheet="1" formatCells="0" formatColumns="0" formatRows="0" insertColumns="0" insertRows="0" insertHyperlinks="0" deleteColumns="0" deleteRows="0"/>
  <mergeCells count="44">
    <mergeCell ref="C1:F4"/>
    <mergeCell ref="B9:B17"/>
    <mergeCell ref="B47:B55"/>
    <mergeCell ref="E5:F5"/>
    <mergeCell ref="A8:F8"/>
    <mergeCell ref="C9:C11"/>
    <mergeCell ref="C12:C14"/>
    <mergeCell ref="A44:A45"/>
    <mergeCell ref="A48:A50"/>
    <mergeCell ref="C34:C45"/>
    <mergeCell ref="E19:E20"/>
    <mergeCell ref="E48:E49"/>
    <mergeCell ref="A34:A35"/>
    <mergeCell ref="C15:C17"/>
    <mergeCell ref="A15:A17"/>
    <mergeCell ref="A18:F18"/>
    <mergeCell ref="B57:B58"/>
    <mergeCell ref="C57:C58"/>
    <mergeCell ref="D57:D58"/>
    <mergeCell ref="A36:A37"/>
    <mergeCell ref="A42:A43"/>
    <mergeCell ref="A46:F46"/>
    <mergeCell ref="A56:F56"/>
    <mergeCell ref="D51:D53"/>
    <mergeCell ref="E51:E53"/>
    <mergeCell ref="B19:B32"/>
    <mergeCell ref="A33:F33"/>
    <mergeCell ref="B34:B45"/>
    <mergeCell ref="A38:A39"/>
    <mergeCell ref="A19:A20"/>
    <mergeCell ref="A21:A23"/>
    <mergeCell ref="A24:A26"/>
    <mergeCell ref="A27:A29"/>
    <mergeCell ref="A40:A41"/>
    <mergeCell ref="D19:D20"/>
    <mergeCell ref="E21:E22"/>
    <mergeCell ref="E24:E25"/>
    <mergeCell ref="E27:E28"/>
    <mergeCell ref="D30:D32"/>
    <mergeCell ref="A9:A11"/>
    <mergeCell ref="A12:A14"/>
    <mergeCell ref="E9:E11"/>
    <mergeCell ref="E12:E14"/>
    <mergeCell ref="E15:E17"/>
  </mergeCell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60" orientation="landscape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view="pageBreakPreview" zoomScaleSheetLayoutView="100" workbookViewId="0">
      <selection activeCell="B19" sqref="B19"/>
    </sheetView>
  </sheetViews>
  <sheetFormatPr defaultColWidth="9.109375" defaultRowHeight="14.4" x14ac:dyDescent="0.3"/>
  <cols>
    <col min="1" max="1" width="5" style="1" customWidth="1"/>
    <col min="2" max="2" width="47.109375" style="1" bestFit="1" customWidth="1"/>
    <col min="3" max="3" width="18.44140625" style="1" customWidth="1"/>
    <col min="4" max="4" width="15.5546875" style="1" customWidth="1"/>
    <col min="5" max="5" width="27.33203125" style="1" customWidth="1"/>
    <col min="6" max="16384" width="9.109375" style="1"/>
  </cols>
  <sheetData>
    <row r="1" spans="1:5" ht="19.95" customHeight="1" x14ac:dyDescent="0.3">
      <c r="A1" s="107"/>
      <c r="B1" s="32"/>
      <c r="C1" s="439" t="s">
        <v>153</v>
      </c>
      <c r="D1" s="439" t="s">
        <v>154</v>
      </c>
      <c r="E1" s="439" t="s">
        <v>155</v>
      </c>
    </row>
    <row r="2" spans="1:5" ht="19.95" customHeight="1" x14ac:dyDescent="0.3">
      <c r="A2" s="108"/>
      <c r="B2" s="109" t="s">
        <v>156</v>
      </c>
      <c r="C2" s="439"/>
      <c r="D2" s="439"/>
      <c r="E2" s="439"/>
    </row>
    <row r="3" spans="1:5" ht="19.95" customHeight="1" x14ac:dyDescent="0.3">
      <c r="A3" s="440" t="s">
        <v>62</v>
      </c>
      <c r="B3" s="440" t="s">
        <v>22</v>
      </c>
      <c r="C3" s="441" t="s">
        <v>63</v>
      </c>
      <c r="D3" s="441" t="s">
        <v>63</v>
      </c>
      <c r="E3" s="441" t="s">
        <v>63</v>
      </c>
    </row>
    <row r="4" spans="1:5" ht="19.95" customHeight="1" x14ac:dyDescent="0.3">
      <c r="A4" s="440"/>
      <c r="B4" s="440"/>
      <c r="C4" s="441"/>
      <c r="D4" s="441"/>
      <c r="E4" s="441"/>
    </row>
    <row r="5" spans="1:5" ht="19.95" customHeight="1" x14ac:dyDescent="0.3">
      <c r="A5" s="110">
        <v>1</v>
      </c>
      <c r="B5" s="111" t="s">
        <v>325</v>
      </c>
      <c r="C5" s="112">
        <v>45</v>
      </c>
      <c r="D5" s="112">
        <v>40</v>
      </c>
      <c r="E5" s="112">
        <v>50</v>
      </c>
    </row>
    <row r="6" spans="1:5" ht="19.95" customHeight="1" x14ac:dyDescent="0.3">
      <c r="A6" s="110">
        <v>2</v>
      </c>
      <c r="B6" s="111" t="s">
        <v>324</v>
      </c>
      <c r="C6" s="112">
        <v>490</v>
      </c>
      <c r="D6" s="112" t="s">
        <v>71</v>
      </c>
      <c r="E6" s="112">
        <v>520</v>
      </c>
    </row>
    <row r="7" spans="1:5" ht="19.95" customHeight="1" x14ac:dyDescent="0.3">
      <c r="A7" s="110">
        <v>3</v>
      </c>
      <c r="B7" s="111" t="s">
        <v>64</v>
      </c>
      <c r="C7" s="113">
        <v>300</v>
      </c>
      <c r="D7" s="113">
        <v>275</v>
      </c>
      <c r="E7" s="113">
        <v>330</v>
      </c>
    </row>
    <row r="8" spans="1:5" ht="19.95" customHeight="1" x14ac:dyDescent="0.3">
      <c r="A8" s="110">
        <v>4</v>
      </c>
      <c r="B8" s="111" t="s">
        <v>65</v>
      </c>
      <c r="C8" s="113">
        <v>380</v>
      </c>
      <c r="D8" s="113">
        <v>350</v>
      </c>
      <c r="E8" s="113">
        <v>420</v>
      </c>
    </row>
    <row r="9" spans="1:5" ht="19.95" customHeight="1" x14ac:dyDescent="0.3">
      <c r="A9" s="110">
        <v>5</v>
      </c>
      <c r="B9" s="111" t="s">
        <v>66</v>
      </c>
      <c r="C9" s="113">
        <v>90</v>
      </c>
      <c r="D9" s="113">
        <v>83</v>
      </c>
      <c r="E9" s="113">
        <v>100</v>
      </c>
    </row>
    <row r="10" spans="1:5" ht="19.95" customHeight="1" x14ac:dyDescent="0.3">
      <c r="A10" s="110">
        <v>6</v>
      </c>
      <c r="B10" s="111" t="s">
        <v>67</v>
      </c>
      <c r="C10" s="113">
        <v>100</v>
      </c>
      <c r="D10" s="113" t="s">
        <v>71</v>
      </c>
      <c r="E10" s="113">
        <v>110</v>
      </c>
    </row>
    <row r="11" spans="1:5" ht="19.95" customHeight="1" x14ac:dyDescent="0.3">
      <c r="A11" s="110">
        <v>7</v>
      </c>
      <c r="B11" s="111" t="s">
        <v>157</v>
      </c>
      <c r="C11" s="113">
        <v>75</v>
      </c>
      <c r="D11" s="113">
        <v>70</v>
      </c>
      <c r="E11" s="113">
        <v>83</v>
      </c>
    </row>
    <row r="12" spans="1:5" ht="19.95" customHeight="1" x14ac:dyDescent="0.3">
      <c r="A12" s="110">
        <v>8</v>
      </c>
      <c r="B12" s="111" t="s">
        <v>158</v>
      </c>
      <c r="C12" s="113">
        <v>270</v>
      </c>
      <c r="D12" s="113" t="s">
        <v>71</v>
      </c>
      <c r="E12" s="113">
        <v>300</v>
      </c>
    </row>
    <row r="13" spans="1:5" ht="19.95" customHeight="1" x14ac:dyDescent="0.3">
      <c r="A13" s="110">
        <v>9</v>
      </c>
      <c r="B13" s="111" t="s">
        <v>159</v>
      </c>
      <c r="C13" s="113">
        <v>390</v>
      </c>
      <c r="D13" s="113" t="s">
        <v>71</v>
      </c>
      <c r="E13" s="113">
        <v>430</v>
      </c>
    </row>
    <row r="14" spans="1:5" ht="19.95" customHeight="1" x14ac:dyDescent="0.3">
      <c r="A14" s="110">
        <v>10</v>
      </c>
      <c r="B14" s="111" t="s">
        <v>326</v>
      </c>
      <c r="C14" s="113">
        <v>75</v>
      </c>
      <c r="D14" s="113" t="s">
        <v>71</v>
      </c>
      <c r="E14" s="113">
        <v>85</v>
      </c>
    </row>
    <row r="15" spans="1:5" ht="19.95" customHeight="1" x14ac:dyDescent="0.3">
      <c r="A15" s="110">
        <v>11</v>
      </c>
      <c r="B15" s="111" t="s">
        <v>327</v>
      </c>
      <c r="C15" s="113">
        <v>105</v>
      </c>
      <c r="D15" s="113" t="s">
        <v>71</v>
      </c>
      <c r="E15" s="113">
        <v>115</v>
      </c>
    </row>
    <row r="16" spans="1:5" ht="19.95" customHeight="1" x14ac:dyDescent="0.3">
      <c r="A16" s="110">
        <v>12</v>
      </c>
      <c r="B16" s="111" t="s">
        <v>328</v>
      </c>
      <c r="C16" s="113">
        <v>110</v>
      </c>
      <c r="D16" s="113" t="s">
        <v>71</v>
      </c>
      <c r="E16" s="113">
        <v>120</v>
      </c>
    </row>
    <row r="17" spans="1:5" ht="19.95" customHeight="1" x14ac:dyDescent="0.3">
      <c r="A17" s="110">
        <v>13</v>
      </c>
      <c r="B17" s="111" t="s">
        <v>68</v>
      </c>
      <c r="C17" s="113">
        <v>60</v>
      </c>
      <c r="D17" s="113">
        <v>55</v>
      </c>
      <c r="E17" s="113">
        <v>65</v>
      </c>
    </row>
    <row r="18" spans="1:5" ht="19.95" customHeight="1" x14ac:dyDescent="0.3">
      <c r="A18" s="110">
        <v>14</v>
      </c>
      <c r="B18" s="111" t="s">
        <v>69</v>
      </c>
      <c r="C18" s="113">
        <v>45</v>
      </c>
      <c r="D18" s="113">
        <v>40</v>
      </c>
      <c r="E18" s="113">
        <v>50</v>
      </c>
    </row>
    <row r="19" spans="1:5" ht="19.95" customHeight="1" x14ac:dyDescent="0.3">
      <c r="A19" s="110">
        <v>15</v>
      </c>
      <c r="B19" s="111" t="s">
        <v>70</v>
      </c>
      <c r="C19" s="113">
        <v>60</v>
      </c>
      <c r="D19" s="113" t="s">
        <v>71</v>
      </c>
      <c r="E19" s="113">
        <v>65</v>
      </c>
    </row>
    <row r="20" spans="1:5" ht="19.95" customHeight="1" x14ac:dyDescent="0.3">
      <c r="A20" s="110">
        <v>16</v>
      </c>
      <c r="B20" s="111" t="s">
        <v>329</v>
      </c>
      <c r="C20" s="113">
        <v>77</v>
      </c>
      <c r="D20" s="113" t="s">
        <v>71</v>
      </c>
      <c r="E20" s="113">
        <v>85</v>
      </c>
    </row>
    <row r="21" spans="1:5" ht="33.75" customHeight="1" x14ac:dyDescent="0.3">
      <c r="A21" s="114"/>
      <c r="B21" s="114"/>
      <c r="C21" s="115" t="s">
        <v>160</v>
      </c>
      <c r="D21" s="116" t="s">
        <v>154</v>
      </c>
      <c r="E21" s="117" t="s">
        <v>161</v>
      </c>
    </row>
    <row r="22" spans="1:5" ht="19.95" customHeight="1" x14ac:dyDescent="0.3">
      <c r="A22" s="114"/>
      <c r="B22" s="114"/>
      <c r="C22" s="115" t="s">
        <v>162</v>
      </c>
      <c r="D22" s="116"/>
      <c r="E22" s="117"/>
    </row>
    <row r="23" spans="1:5" ht="19.95" customHeight="1" x14ac:dyDescent="0.3">
      <c r="A23" s="114"/>
      <c r="B23" s="114"/>
      <c r="C23" s="115" t="s">
        <v>163</v>
      </c>
      <c r="D23" s="116"/>
      <c r="E23" s="117"/>
    </row>
    <row r="24" spans="1:5" ht="19.95" customHeight="1" x14ac:dyDescent="0.3">
      <c r="A24" s="114"/>
      <c r="B24" s="114"/>
      <c r="C24" s="115" t="s">
        <v>164</v>
      </c>
      <c r="D24" s="116"/>
      <c r="E24" s="117"/>
    </row>
    <row r="25" spans="1:5" ht="19.95" customHeight="1" x14ac:dyDescent="0.3">
      <c r="A25" s="114"/>
      <c r="B25" s="114"/>
      <c r="C25" s="115" t="s">
        <v>165</v>
      </c>
      <c r="D25" s="116"/>
      <c r="E25" s="116"/>
    </row>
    <row r="26" spans="1:5" ht="19.95" customHeight="1" x14ac:dyDescent="0.3">
      <c r="A26" s="114"/>
      <c r="B26" s="114"/>
      <c r="C26" s="115" t="s">
        <v>166</v>
      </c>
      <c r="D26" s="116"/>
      <c r="E26" s="116"/>
    </row>
    <row r="27" spans="1:5" ht="19.95" customHeight="1" x14ac:dyDescent="0.3">
      <c r="A27" s="114"/>
      <c r="B27" s="114"/>
      <c r="C27" s="115" t="s">
        <v>167</v>
      </c>
      <c r="D27" s="116"/>
      <c r="E27" s="116"/>
    </row>
    <row r="28" spans="1:5" ht="19.95" customHeight="1" x14ac:dyDescent="0.3">
      <c r="A28" s="114"/>
      <c r="B28" s="114"/>
      <c r="C28" s="115" t="s">
        <v>168</v>
      </c>
      <c r="D28" s="116"/>
      <c r="E28" s="116"/>
    </row>
    <row r="29" spans="1:5" ht="19.95" customHeight="1" x14ac:dyDescent="0.3">
      <c r="A29" s="114"/>
      <c r="B29" s="114"/>
      <c r="C29" s="115" t="s">
        <v>169</v>
      </c>
      <c r="D29" s="116"/>
      <c r="E29" s="116"/>
    </row>
    <row r="30" spans="1:5" ht="19.95" customHeight="1" x14ac:dyDescent="0.3">
      <c r="A30" s="114"/>
      <c r="B30" s="114"/>
      <c r="C30" s="115" t="s">
        <v>170</v>
      </c>
      <c r="D30" s="116"/>
      <c r="E30" s="116"/>
    </row>
  </sheetData>
  <sheetProtection algorithmName="SHA-512" hashValue="pqneAcsUON0UAiqM20VebgTTZ6iP/T4ThshzEZ3k/57BpkpXRNGUrpXYRMcfVAKbWi41JvRJ3pVR6iKqNvMwwQ==" saltValue="BR7PI2Fjafvh1gGPiJu9GQ==" spinCount="100000" sheet="1" objects="1" scenarios="1" formatCells="0" formatColumns="0" formatRows="0" insertColumns="0" insertRows="0" insertHyperlinks="0" deleteColumns="0" deleteRows="0"/>
  <mergeCells count="8">
    <mergeCell ref="C1:C2"/>
    <mergeCell ref="D1:D2"/>
    <mergeCell ref="E1:E2"/>
    <mergeCell ref="A3:A4"/>
    <mergeCell ref="B3:B4"/>
    <mergeCell ref="C3:C4"/>
    <mergeCell ref="D3:D4"/>
    <mergeCell ref="E3:E4"/>
  </mergeCells>
  <pageMargins left="0.70866141732283472" right="0.70866141732283472" top="0.74803149606299213" bottom="0.74803149606299213" header="0.31496062992125984" footer="0.31496062992125984"/>
  <pageSetup paperSize="9" scale="76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16805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ЭБК ROOFSYSTEMS</vt:lpstr>
      <vt:lpstr>х-кронштейны</vt:lpstr>
      <vt:lpstr>ЭБК ТЕКТА</vt:lpstr>
      <vt:lpstr>Водосточные системы SALE!!!</vt:lpstr>
      <vt:lpstr>'ЭБК ROOFSYSTEMS'!__xlnm_Print_Area</vt:lpstr>
      <vt:lpstr>'ЭБК ROOFSYSTEMS'!Z_DA8DBDE0_784E_4006_B6E3_AFF19CC4A244__wvu_PrintArea</vt:lpstr>
      <vt:lpstr>'ЭБК ROOFSYSTEMS'!Область_печати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</dc:creator>
  <cp:lastModifiedBy>IN WIN</cp:lastModifiedBy>
  <cp:revision>10</cp:revision>
  <cp:lastPrinted>2020-10-25T08:18:25Z</cp:lastPrinted>
  <dcterms:created xsi:type="dcterms:W3CDTF">2015-01-20T06:49:49Z</dcterms:created>
  <dcterms:modified xsi:type="dcterms:W3CDTF">2020-10-26T08:25:16Z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Reanimator Extreme Edition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